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385" windowWidth="7545" windowHeight="2790" tabRatio="698" activeTab="7"/>
  </bookViews>
  <sheets>
    <sheet name="тимч січ" sheetId="1" r:id="rId1"/>
    <sheet name="тимч лют" sheetId="2" r:id="rId2"/>
    <sheet name="лют" sheetId="3" r:id="rId3"/>
    <sheet name="бер" sheetId="4" r:id="rId4"/>
    <sheet name="квіт" sheetId="5" r:id="rId5"/>
    <sheet name="трав" sheetId="6" r:id="rId6"/>
    <sheet name="черв" sheetId="7" r:id="rId7"/>
    <sheet name="лип" sheetId="8" r:id="rId8"/>
  </sheets>
  <definedNames>
    <definedName name="_xlnm.Print_Area" localSheetId="3">'бер'!$A$1:$AG$99</definedName>
    <definedName name="_xlnm.Print_Area" localSheetId="4">'квіт'!$A$1:$AG$99</definedName>
    <definedName name="_xlnm.Print_Area" localSheetId="7">'лип'!$A$1:$AG$99</definedName>
    <definedName name="_xlnm.Print_Area" localSheetId="2">'лют'!$A$1:$AG$99</definedName>
    <definedName name="_xlnm.Print_Area" localSheetId="1">'тимч лют'!$A$1:$AG$99</definedName>
    <definedName name="_xlnm.Print_Area" localSheetId="0">'тимч січ'!$A$1:$AG$99</definedName>
    <definedName name="_xlnm.Print_Area" localSheetId="5">'трав'!$A$1:$AG$99</definedName>
    <definedName name="_xlnm.Print_Area" localSheetId="6">'черв'!$A$1:$AG$99</definedName>
  </definedNames>
  <calcPr fullCalcOnLoad="1"/>
</workbook>
</file>

<file path=xl/sharedStrings.xml><?xml version="1.0" encoding="utf-8"?>
<sst xmlns="http://schemas.openxmlformats.org/spreadsheetml/2006/main" count="832" uniqueCount="66">
  <si>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</si>
  <si>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</si>
  <si>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</si>
  <si>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</si>
  <si>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</si>
  <si>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</si>
  <si>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</si>
  <si>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</si>
  <si>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</si>
  <si>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</si>
  <si>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</si>
  <si>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</si>
  <si>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</si>
  <si>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</si>
  <si>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</si>
  <si>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</si>
  <si>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</si>
  <si>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</si>
  <si>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</si>
  <si>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</si>
  <si>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</si>
  <si>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</si>
  <si>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</si>
  <si>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</si>
  <si>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</si>
  <si>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</si>
  <si>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</si>
  <si>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</si>
  <si>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</si>
  <si>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</si>
  <si>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</si>
  <si>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</si>
  <si>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</si>
  <si>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</si>
  <si>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Доходи до розрахунку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</si>
  <si>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</si>
  <si>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</si>
  <si>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</si>
  <si>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інші /250404/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</si>
  <si>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</si>
  <si>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</si>
  <si>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</si>
  <si>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Реверсна дотація (250301)</t>
  </si>
  <si>
    <t>освітня та медична субвенції</t>
  </si>
  <si>
    <t>Передано до бюджтеу розвитку (спеціального фонду)</t>
  </si>
  <si>
    <t>Дорожній фонд (170703)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</si>
  <si>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</si>
  <si>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</si>
  <si>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</si>
  <si>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Природоохоронні заходи (200600, 200700)</t>
  </si>
  <si>
    <t>Пільгове перевезення (170102, 170602)</t>
  </si>
  <si>
    <t>Стабілізаційна дотація</t>
  </si>
  <si>
    <t>по міському бюджету м.Черкаси у СІЧНІ 2016 р.</t>
  </si>
  <si>
    <t>по міському бюджету м.Черкаси у ЛЮТОМУ 2016 р.</t>
  </si>
  <si>
    <t>надійшло доходів/план видатків
 на лютий</t>
  </si>
  <si>
    <t>надійшло доходів/план видатків
 на лютий (з урахуванням залишку січня)</t>
  </si>
  <si>
    <t>надійшло доходів/план видатків
 на березень</t>
  </si>
  <si>
    <t>по міському бюджету м.Черкаси у БЕРЕЗНІ 2016 р.</t>
  </si>
  <si>
    <t>надійшло доходів/план видатків
 на квітень</t>
  </si>
  <si>
    <t>по міському бюджету м.Черкаси у КВІТНІ 2016 р.</t>
  </si>
  <si>
    <t>по міському бюджету м.Черкаси у ТРАВНІ 2016 р.</t>
  </si>
  <si>
    <t>надійшло доходів/план видатків
 на травень</t>
  </si>
  <si>
    <t>по міському бюджету м.Черкаси у ЧЕРВНІ 2016 р.</t>
  </si>
  <si>
    <t>надійшло доходів/план видатків
 на червень</t>
  </si>
  <si>
    <t>по міському бюджету м.Черкаси у ЛИПНІ 2016 р.</t>
  </si>
  <si>
    <t>надійшло доходів/план видатків
 на липень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</si>
</sst>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88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88" fontId="21" fillId="0" borderId="10" xfId="0" applyNumberFormat="1" applyFont="1" applyBorder="1" applyAlignment="1">
      <alignment/>
    </xf>
    <xf numFmtId="188" fontId="21" fillId="0" borderId="10" xfId="0" applyNumberFormat="1" applyFont="1" applyBorder="1" applyAlignment="1">
      <alignment/>
    </xf>
    <xf numFmtId="188" fontId="21" fillId="24" borderId="10" xfId="0" applyNumberFormat="1" applyFont="1" applyFill="1" applyBorder="1" applyAlignment="1">
      <alignment/>
    </xf>
    <xf numFmtId="188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88" fontId="21" fillId="0" borderId="10" xfId="0" applyNumberFormat="1" applyFont="1" applyFill="1" applyBorder="1" applyAlignment="1">
      <alignment/>
    </xf>
    <xf numFmtId="188" fontId="2" fillId="0" borderId="10" xfId="0" applyNumberFormat="1" applyFont="1" applyBorder="1" applyAlignment="1">
      <alignment horizontal="center" vertical="center" wrapText="1"/>
    </xf>
    <xf numFmtId="188" fontId="10" fillId="0" borderId="0" xfId="0" applyNumberFormat="1" applyFont="1" applyAlignment="1">
      <alignment/>
    </xf>
    <xf numFmtId="188" fontId="10" fillId="0" borderId="0" xfId="0" applyNumberFormat="1" applyFont="1" applyAlignment="1">
      <alignment horizontal="center"/>
    </xf>
    <xf numFmtId="188" fontId="22" fillId="0" borderId="0" xfId="0" applyNumberFormat="1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K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5" sqref="AF1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35</v>
      </c>
      <c r="C4" s="9" t="s">
        <v>19</v>
      </c>
      <c r="D4" s="9">
        <v>4</v>
      </c>
      <c r="E4" s="8">
        <v>5</v>
      </c>
      <c r="F4" s="8">
        <v>6</v>
      </c>
      <c r="G4" s="8">
        <v>11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18</v>
      </c>
      <c r="N4" s="8">
        <v>19</v>
      </c>
      <c r="O4" s="8">
        <v>20</v>
      </c>
      <c r="P4" s="8">
        <v>21</v>
      </c>
      <c r="Q4" s="8">
        <v>22</v>
      </c>
      <c r="R4" s="8">
        <v>25</v>
      </c>
      <c r="S4" s="19">
        <v>26</v>
      </c>
      <c r="T4" s="19">
        <v>27</v>
      </c>
      <c r="U4" s="8">
        <v>28</v>
      </c>
      <c r="V4" s="8">
        <v>29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27813.8</v>
      </c>
      <c r="C7" s="72">
        <v>5104.7</v>
      </c>
      <c r="D7" s="45"/>
      <c r="E7" s="46"/>
      <c r="F7" s="46"/>
      <c r="G7" s="46">
        <v>6800.2</v>
      </c>
      <c r="H7" s="74">
        <v>6800.1</v>
      </c>
      <c r="I7" s="46">
        <v>14213.5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7269.4</v>
      </c>
      <c r="AF7" s="72"/>
      <c r="AG7" s="48"/>
    </row>
    <row r="8" spans="1:55" ht="18" customHeight="1">
      <c r="A8" s="60" t="s">
        <v>34</v>
      </c>
      <c r="B8" s="40">
        <f>SUM(D8:AB8)</f>
        <v>53929.299999999996</v>
      </c>
      <c r="C8" s="40">
        <v>135466.1</v>
      </c>
      <c r="D8" s="43">
        <v>0</v>
      </c>
      <c r="E8" s="55">
        <v>0</v>
      </c>
      <c r="F8" s="55">
        <v>2547.6</v>
      </c>
      <c r="G8" s="55">
        <v>4038.8</v>
      </c>
      <c r="H8" s="55">
        <v>2668.3</v>
      </c>
      <c r="I8" s="55">
        <v>1625.6</v>
      </c>
      <c r="J8" s="56">
        <v>1863</v>
      </c>
      <c r="K8" s="55">
        <v>1796.9</v>
      </c>
      <c r="L8" s="55">
        <v>3444.4</v>
      </c>
      <c r="M8" s="55">
        <v>2462.3</v>
      </c>
      <c r="N8" s="55">
        <v>1694.1</v>
      </c>
      <c r="O8" s="55">
        <v>2806.1</v>
      </c>
      <c r="P8" s="55">
        <v>3123.8</v>
      </c>
      <c r="Q8" s="55">
        <v>2512.8</v>
      </c>
      <c r="R8" s="55">
        <v>3296</v>
      </c>
      <c r="S8" s="57">
        <v>2922.7</v>
      </c>
      <c r="T8" s="57">
        <v>3621.6</v>
      </c>
      <c r="U8" s="55">
        <v>4820.3</v>
      </c>
      <c r="V8" s="55">
        <v>8685</v>
      </c>
      <c r="W8" s="55"/>
      <c r="X8" s="56"/>
      <c r="Y8" s="56"/>
      <c r="Z8" s="56"/>
      <c r="AA8" s="56"/>
      <c r="AB8" s="55"/>
      <c r="AC8" s="23"/>
      <c r="AD8" s="23"/>
      <c r="AE8" s="61">
        <v>161156.1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69138.2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805.6</v>
      </c>
      <c r="I9" s="24">
        <f t="shared" si="0"/>
        <v>3554.2</v>
      </c>
      <c r="J9" s="24">
        <f t="shared" si="0"/>
        <v>7695.3</v>
      </c>
      <c r="K9" s="24">
        <f t="shared" si="0"/>
        <v>9647.4</v>
      </c>
      <c r="L9" s="24">
        <f t="shared" si="0"/>
        <v>0</v>
      </c>
      <c r="M9" s="24">
        <f t="shared" si="0"/>
        <v>842.4</v>
      </c>
      <c r="N9" s="24">
        <f t="shared" si="0"/>
        <v>78.9</v>
      </c>
      <c r="O9" s="24">
        <f t="shared" si="0"/>
        <v>979.9</v>
      </c>
      <c r="P9" s="24">
        <f t="shared" si="0"/>
        <v>1207.9</v>
      </c>
      <c r="Q9" s="24">
        <f t="shared" si="0"/>
        <v>0</v>
      </c>
      <c r="R9" s="24">
        <f t="shared" si="0"/>
        <v>1052.8</v>
      </c>
      <c r="S9" s="24">
        <f t="shared" si="0"/>
        <v>23122.5</v>
      </c>
      <c r="T9" s="24">
        <f t="shared" si="0"/>
        <v>2060.7000000000003</v>
      </c>
      <c r="U9" s="24">
        <f t="shared" si="0"/>
        <v>1892.2</v>
      </c>
      <c r="V9" s="24">
        <f t="shared" si="0"/>
        <v>948.6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53888.40000000001</v>
      </c>
      <c r="AG9" s="50">
        <f>AG10+AG15+AG24+AG33+AG47+AG52+AG54+AG61+AG62+AG71+AG72+AG76+AG88+AG81+AG83+AG82+AG69+AG89+AG91+AG90+AG70+AG40+AG92</f>
        <v>15249.799999999992</v>
      </c>
      <c r="AH9" s="49"/>
      <c r="AI9" s="49"/>
    </row>
    <row r="10" spans="1:33" ht="15.75">
      <c r="A10" s="4" t="s">
        <v>4</v>
      </c>
      <c r="B10" s="22">
        <v>4181.7</v>
      </c>
      <c r="C10" s="22"/>
      <c r="D10" s="22"/>
      <c r="E10" s="22"/>
      <c r="F10" s="22"/>
      <c r="G10" s="22"/>
      <c r="H10" s="22"/>
      <c r="I10" s="22">
        <v>504.1</v>
      </c>
      <c r="J10" s="25">
        <v>603.6</v>
      </c>
      <c r="K10" s="22">
        <v>0.4</v>
      </c>
      <c r="L10" s="22"/>
      <c r="M10" s="22">
        <v>13.4</v>
      </c>
      <c r="N10" s="22">
        <v>0.4</v>
      </c>
      <c r="O10" s="27">
        <v>2.2</v>
      </c>
      <c r="P10" s="22">
        <v>9.9</v>
      </c>
      <c r="Q10" s="22"/>
      <c r="R10" s="22">
        <v>1.1</v>
      </c>
      <c r="S10" s="26">
        <v>305.4</v>
      </c>
      <c r="T10" s="26">
        <v>663.4</v>
      </c>
      <c r="U10" s="26">
        <v>712.7</v>
      </c>
      <c r="V10" s="26">
        <v>3.4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2820.0000000000005</v>
      </c>
      <c r="AG10" s="27">
        <f>B10+C10-AF10</f>
        <v>1361.6999999999994</v>
      </c>
    </row>
    <row r="11" spans="1:33" ht="15.75">
      <c r="A11" s="3" t="s">
        <v>5</v>
      </c>
      <c r="B11" s="22">
        <v>3551.3</v>
      </c>
      <c r="C11" s="22"/>
      <c r="D11" s="22"/>
      <c r="E11" s="22"/>
      <c r="F11" s="22"/>
      <c r="G11" s="22"/>
      <c r="H11" s="22"/>
      <c r="I11" s="22">
        <v>504.1</v>
      </c>
      <c r="J11" s="26">
        <v>600.9</v>
      </c>
      <c r="K11" s="22"/>
      <c r="L11" s="22"/>
      <c r="M11" s="22">
        <v>12.5</v>
      </c>
      <c r="N11" s="22">
        <v>0.1</v>
      </c>
      <c r="O11" s="27"/>
      <c r="P11" s="22"/>
      <c r="Q11" s="22"/>
      <c r="R11" s="22"/>
      <c r="S11" s="26">
        <v>294.4</v>
      </c>
      <c r="T11" s="26">
        <v>657</v>
      </c>
      <c r="U11" s="26">
        <v>710.4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2779.4</v>
      </c>
      <c r="AG11" s="27">
        <f>B11+C11-AF11</f>
        <v>771.9000000000001</v>
      </c>
    </row>
    <row r="12" spans="1:33" ht="15.75">
      <c r="A12" s="3" t="s">
        <v>2</v>
      </c>
      <c r="B12" s="36">
        <v>256.8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0</v>
      </c>
      <c r="AG12" s="27">
        <f>B12+C12-AF12</f>
        <v>256.8</v>
      </c>
    </row>
    <row r="13" spans="1:33" ht="15.75" hidden="1">
      <c r="A13" s="3" t="s">
        <v>17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373.5999999999996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0</v>
      </c>
      <c r="J14" s="22">
        <f t="shared" si="2"/>
        <v>2.7000000000000455</v>
      </c>
      <c r="K14" s="22">
        <f t="shared" si="2"/>
        <v>0.4</v>
      </c>
      <c r="L14" s="22">
        <f t="shared" si="2"/>
        <v>0</v>
      </c>
      <c r="M14" s="22">
        <f t="shared" si="2"/>
        <v>0.9000000000000004</v>
      </c>
      <c r="N14" s="22">
        <f t="shared" si="2"/>
        <v>0.30000000000000004</v>
      </c>
      <c r="O14" s="22">
        <f t="shared" si="2"/>
        <v>2.2</v>
      </c>
      <c r="P14" s="22">
        <f t="shared" si="2"/>
        <v>9.9</v>
      </c>
      <c r="Q14" s="22">
        <f t="shared" si="2"/>
        <v>0</v>
      </c>
      <c r="R14" s="22">
        <f t="shared" si="2"/>
        <v>1.1</v>
      </c>
      <c r="S14" s="22">
        <f t="shared" si="2"/>
        <v>11</v>
      </c>
      <c r="T14" s="22">
        <f t="shared" si="2"/>
        <v>6.399999999999977</v>
      </c>
      <c r="U14" s="22">
        <f t="shared" si="2"/>
        <v>2.300000000000068</v>
      </c>
      <c r="V14" s="22">
        <f t="shared" si="2"/>
        <v>3.4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40.600000000000094</v>
      </c>
      <c r="AG14" s="27">
        <f>AG10-AG11-AG12-AG13</f>
        <v>332.99999999999926</v>
      </c>
    </row>
    <row r="15" spans="1:33" ht="15" customHeight="1">
      <c r="A15" s="4" t="s">
        <v>6</v>
      </c>
      <c r="B15" s="22">
        <f>30411.1-1435.3</f>
        <v>28975.8</v>
      </c>
      <c r="C15" s="22"/>
      <c r="D15" s="44"/>
      <c r="E15" s="44"/>
      <c r="F15" s="22"/>
      <c r="G15" s="22"/>
      <c r="H15" s="22"/>
      <c r="I15" s="22"/>
      <c r="J15" s="26"/>
      <c r="K15" s="22">
        <v>9084.5</v>
      </c>
      <c r="L15" s="22"/>
      <c r="M15" s="22"/>
      <c r="N15" s="22"/>
      <c r="O15" s="27"/>
      <c r="P15" s="22">
        <f>699.2+86.3</f>
        <v>785.5</v>
      </c>
      <c r="Q15" s="27"/>
      <c r="R15" s="22">
        <v>220.1</v>
      </c>
      <c r="S15" s="26">
        <f>4705.1+6727.5</f>
        <v>11432.6</v>
      </c>
      <c r="T15" s="26">
        <v>675.5</v>
      </c>
      <c r="U15" s="26">
        <v>217.6</v>
      </c>
      <c r="V15" s="26">
        <v>0.2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22416</v>
      </c>
      <c r="AG15" s="27">
        <f aca="true" t="shared" si="3" ref="AG15:AG31">B15+C15-AF15</f>
        <v>6559.799999999999</v>
      </c>
    </row>
    <row r="16" spans="1:34" s="70" customFormat="1" ht="15" customHeight="1">
      <c r="A16" s="65" t="s">
        <v>46</v>
      </c>
      <c r="B16" s="66">
        <f>15035.6-1435.3</f>
        <v>13600.300000000001</v>
      </c>
      <c r="C16" s="66"/>
      <c r="D16" s="67"/>
      <c r="E16" s="67"/>
      <c r="F16" s="66"/>
      <c r="G16" s="66"/>
      <c r="H16" s="66"/>
      <c r="I16" s="66"/>
      <c r="J16" s="68"/>
      <c r="K16" s="66">
        <v>5419.3</v>
      </c>
      <c r="L16" s="66"/>
      <c r="M16" s="66"/>
      <c r="N16" s="66"/>
      <c r="O16" s="69"/>
      <c r="P16" s="66">
        <v>86.3</v>
      </c>
      <c r="Q16" s="69"/>
      <c r="R16" s="66">
        <v>97.4</v>
      </c>
      <c r="S16" s="68">
        <f>56.7+6727.5</f>
        <v>6784.2</v>
      </c>
      <c r="T16" s="68">
        <v>560.1</v>
      </c>
      <c r="U16" s="68">
        <v>2.9</v>
      </c>
      <c r="V16" s="68">
        <v>0.2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12950.400000000001</v>
      </c>
      <c r="AG16" s="71">
        <f t="shared" si="3"/>
        <v>649.8999999999996</v>
      </c>
      <c r="AH16" s="75"/>
    </row>
    <row r="17" spans="1:34" ht="15.75">
      <c r="A17" s="3" t="s">
        <v>5</v>
      </c>
      <c r="B17" s="22">
        <f>17562+4452.7</f>
        <v>22014.7</v>
      </c>
      <c r="C17" s="22"/>
      <c r="D17" s="22"/>
      <c r="E17" s="22"/>
      <c r="F17" s="22"/>
      <c r="G17" s="22"/>
      <c r="H17" s="22"/>
      <c r="I17" s="22"/>
      <c r="J17" s="26"/>
      <c r="K17" s="22">
        <v>9084.5</v>
      </c>
      <c r="L17" s="22"/>
      <c r="M17" s="22"/>
      <c r="N17" s="22"/>
      <c r="O17" s="27"/>
      <c r="P17" s="22"/>
      <c r="Q17" s="27"/>
      <c r="R17" s="22"/>
      <c r="S17" s="26">
        <f>4645.9+6727.5</f>
        <v>11373.4</v>
      </c>
      <c r="T17" s="26">
        <v>3.3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20461.2</v>
      </c>
      <c r="AG17" s="27">
        <f t="shared" si="3"/>
        <v>1553.5</v>
      </c>
      <c r="AH17" s="6"/>
    </row>
    <row r="18" spans="1:33" ht="15.75">
      <c r="A18" s="3" t="s">
        <v>3</v>
      </c>
      <c r="B18" s="22">
        <v>0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0</v>
      </c>
    </row>
    <row r="19" spans="1:33" ht="15.75">
      <c r="A19" s="3" t="s">
        <v>1</v>
      </c>
      <c r="B19" s="22">
        <v>1336.9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/>
      <c r="P19" s="22">
        <v>345.3</v>
      </c>
      <c r="Q19" s="27"/>
      <c r="R19" s="22">
        <v>106.4</v>
      </c>
      <c r="S19" s="26">
        <v>54.5</v>
      </c>
      <c r="T19" s="26">
        <v>56.4</v>
      </c>
      <c r="U19" s="26">
        <v>92.4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655</v>
      </c>
      <c r="AG19" s="27">
        <f t="shared" si="3"/>
        <v>681.9000000000001</v>
      </c>
    </row>
    <row r="20" spans="1:33" ht="15.75">
      <c r="A20" s="3" t="s">
        <v>2</v>
      </c>
      <c r="B20" s="22">
        <f>11392.8-1435.3-4452.7</f>
        <v>5504.8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>
        <f>350.1+85.1</f>
        <v>435.20000000000005</v>
      </c>
      <c r="Q20" s="27"/>
      <c r="R20" s="22">
        <v>111</v>
      </c>
      <c r="S20" s="26"/>
      <c r="T20" s="26">
        <v>615.5</v>
      </c>
      <c r="U20" s="26">
        <v>123.2</v>
      </c>
      <c r="V20" s="26">
        <v>0.2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1285.1000000000001</v>
      </c>
      <c r="AG20" s="27">
        <f t="shared" si="3"/>
        <v>4219.7</v>
      </c>
    </row>
    <row r="21" spans="1:33" ht="15.75">
      <c r="A21" s="3" t="s">
        <v>17</v>
      </c>
      <c r="B21" s="22">
        <v>16.1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>
        <f>3.8+1.2</f>
        <v>5</v>
      </c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5</v>
      </c>
      <c r="AG21" s="27">
        <f t="shared" si="3"/>
        <v>11.100000000000001</v>
      </c>
    </row>
    <row r="22" spans="1:33" ht="15.75" hidden="1">
      <c r="A22" s="3" t="s">
        <v>16</v>
      </c>
      <c r="B22" s="44"/>
      <c r="C22" s="22"/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103.29999999999873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0</v>
      </c>
      <c r="P23" s="22">
        <f t="shared" si="4"/>
        <v>-5.684341886080802E-14</v>
      </c>
      <c r="Q23" s="22">
        <f t="shared" si="4"/>
        <v>0</v>
      </c>
      <c r="R23" s="22">
        <f t="shared" si="4"/>
        <v>2.6999999999999886</v>
      </c>
      <c r="S23" s="22">
        <f t="shared" si="4"/>
        <v>4.700000000000728</v>
      </c>
      <c r="T23" s="22">
        <f t="shared" si="4"/>
        <v>0.3000000000000682</v>
      </c>
      <c r="U23" s="22">
        <f t="shared" si="4"/>
        <v>1.9999999999999858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9.700000000000713</v>
      </c>
      <c r="AG23" s="27">
        <f t="shared" si="3"/>
        <v>93.59999999999802</v>
      </c>
    </row>
    <row r="24" spans="1:33" ht="15" customHeight="1">
      <c r="A24" s="4" t="s">
        <v>7</v>
      </c>
      <c r="B24" s="22">
        <f>20403.5-1816.9</f>
        <v>18586.6</v>
      </c>
      <c r="C24" s="22"/>
      <c r="D24" s="22"/>
      <c r="E24" s="22"/>
      <c r="F24" s="22"/>
      <c r="G24" s="22"/>
      <c r="H24" s="22"/>
      <c r="I24" s="22"/>
      <c r="J24" s="26">
        <v>5722.2</v>
      </c>
      <c r="K24" s="22"/>
      <c r="L24" s="22"/>
      <c r="M24" s="22"/>
      <c r="N24" s="22"/>
      <c r="O24" s="27"/>
      <c r="P24" s="22"/>
      <c r="Q24" s="27"/>
      <c r="R24" s="27">
        <v>538</v>
      </c>
      <c r="S24" s="26">
        <v>9070.5</v>
      </c>
      <c r="T24" s="26">
        <v>238.7</v>
      </c>
      <c r="U24" s="26">
        <v>827</v>
      </c>
      <c r="V24" s="26">
        <v>135.9</v>
      </c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16532.300000000003</v>
      </c>
      <c r="AG24" s="27">
        <f t="shared" si="3"/>
        <v>2054.2999999999956</v>
      </c>
    </row>
    <row r="25" spans="1:34" s="70" customFormat="1" ht="15" customHeight="1">
      <c r="A25" s="65" t="s">
        <v>47</v>
      </c>
      <c r="B25" s="66">
        <f>16030.4-1816.9</f>
        <v>14213.5</v>
      </c>
      <c r="C25" s="66"/>
      <c r="D25" s="66"/>
      <c r="E25" s="66"/>
      <c r="F25" s="66"/>
      <c r="G25" s="66"/>
      <c r="H25" s="66"/>
      <c r="I25" s="66"/>
      <c r="J25" s="68">
        <v>5722.2</v>
      </c>
      <c r="K25" s="66"/>
      <c r="L25" s="66"/>
      <c r="M25" s="66"/>
      <c r="N25" s="66"/>
      <c r="O25" s="69"/>
      <c r="P25" s="66"/>
      <c r="Q25" s="69"/>
      <c r="R25" s="69">
        <v>537</v>
      </c>
      <c r="S25" s="68">
        <v>5375.9</v>
      </c>
      <c r="T25" s="68">
        <v>205.8</v>
      </c>
      <c r="U25" s="68">
        <v>772.6</v>
      </c>
      <c r="V25" s="68">
        <v>85.2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12698.699999999999</v>
      </c>
      <c r="AG25" s="71">
        <f t="shared" si="3"/>
        <v>1514.800000000001</v>
      </c>
      <c r="AH25" s="75"/>
    </row>
    <row r="26" spans="1:34" ht="15.75">
      <c r="A26" s="3" t="s">
        <v>5</v>
      </c>
      <c r="B26" s="22">
        <f>16937.2-1816.9</f>
        <v>15120.300000000001</v>
      </c>
      <c r="C26" s="22"/>
      <c r="D26" s="22"/>
      <c r="E26" s="22"/>
      <c r="F26" s="22"/>
      <c r="G26" s="22"/>
      <c r="H26" s="22"/>
      <c r="I26" s="22"/>
      <c r="J26" s="26">
        <v>5722.2</v>
      </c>
      <c r="K26" s="22"/>
      <c r="L26" s="22"/>
      <c r="M26" s="22"/>
      <c r="N26" s="22"/>
      <c r="O26" s="27"/>
      <c r="P26" s="22"/>
      <c r="Q26" s="27"/>
      <c r="R26" s="22">
        <v>1</v>
      </c>
      <c r="S26" s="26">
        <v>8655.9</v>
      </c>
      <c r="T26" s="26">
        <v>32.9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14411.999999999998</v>
      </c>
      <c r="AG26" s="27">
        <f t="shared" si="3"/>
        <v>708.3000000000029</v>
      </c>
      <c r="AH26" s="6"/>
    </row>
    <row r="27" spans="1:33" ht="15.75">
      <c r="A27" s="3" t="s">
        <v>3</v>
      </c>
      <c r="B27" s="22">
        <f>1173.8-170.1</f>
        <v>1003.6999999999999</v>
      </c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>
        <v>80.5</v>
      </c>
      <c r="S27" s="26">
        <v>183.6</v>
      </c>
      <c r="T27" s="26">
        <v>169.4</v>
      </c>
      <c r="U27" s="26">
        <v>194.4</v>
      </c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627.9</v>
      </c>
      <c r="AG27" s="27">
        <f t="shared" si="3"/>
        <v>375.79999999999995</v>
      </c>
    </row>
    <row r="28" spans="1:33" ht="15.75">
      <c r="A28" s="3" t="s">
        <v>1</v>
      </c>
      <c r="B28" s="22">
        <v>289.3</v>
      </c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>
        <v>127.7</v>
      </c>
      <c r="S28" s="26">
        <v>23.6</v>
      </c>
      <c r="T28" s="26">
        <v>33.5</v>
      </c>
      <c r="U28" s="26">
        <v>86.7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271.5</v>
      </c>
      <c r="AG28" s="27">
        <f t="shared" si="3"/>
        <v>17.80000000000001</v>
      </c>
    </row>
    <row r="29" spans="1:33" ht="15.75">
      <c r="A29" s="3" t="s">
        <v>2</v>
      </c>
      <c r="B29" s="22">
        <f>1508.6+170.1</f>
        <v>1678.6999999999998</v>
      </c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>
        <v>230.7</v>
      </c>
      <c r="S29" s="26">
        <v>158.8</v>
      </c>
      <c r="T29" s="26"/>
      <c r="U29" s="26">
        <v>520.8</v>
      </c>
      <c r="V29" s="26">
        <v>110.9</v>
      </c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1021.1999999999999</v>
      </c>
      <c r="AG29" s="27">
        <f t="shared" si="3"/>
        <v>657.4999999999999</v>
      </c>
    </row>
    <row r="30" spans="1:33" ht="15.75">
      <c r="A30" s="3" t="s">
        <v>17</v>
      </c>
      <c r="B30" s="22">
        <v>126</v>
      </c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>
        <v>73.6</v>
      </c>
      <c r="S30" s="26">
        <v>22.6</v>
      </c>
      <c r="T30" s="26"/>
      <c r="U30" s="26">
        <v>5.3</v>
      </c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101.49999999999999</v>
      </c>
      <c r="AG30" s="27">
        <f t="shared" si="3"/>
        <v>24.500000000000014</v>
      </c>
    </row>
    <row r="31" spans="1:33" ht="15.75" hidden="1">
      <c r="A31" s="3" t="s">
        <v>16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368.59999999999764</v>
      </c>
      <c r="C32" s="22">
        <f t="shared" si="5"/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24.50000000000003</v>
      </c>
      <c r="S32" s="22">
        <f t="shared" si="5"/>
        <v>26.000000000000362</v>
      </c>
      <c r="T32" s="22">
        <f t="shared" si="5"/>
        <v>2.8999999999999773</v>
      </c>
      <c r="U32" s="22">
        <f t="shared" si="5"/>
        <v>19.800000000000022</v>
      </c>
      <c r="V32" s="22">
        <f t="shared" si="5"/>
        <v>25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98.20000000000039</v>
      </c>
      <c r="AG32" s="27">
        <f>AG24-AG26-AG27-AG28-AG29-AG30-AG31</f>
        <v>270.39999999999293</v>
      </c>
    </row>
    <row r="33" spans="1:33" ht="15" customHeight="1">
      <c r="A33" s="4" t="s">
        <v>8</v>
      </c>
      <c r="B33" s="22">
        <v>457.4</v>
      </c>
      <c r="C33" s="22"/>
      <c r="D33" s="22"/>
      <c r="E33" s="22"/>
      <c r="F33" s="22"/>
      <c r="G33" s="22"/>
      <c r="H33" s="22"/>
      <c r="I33" s="22"/>
      <c r="J33" s="26"/>
      <c r="K33" s="22">
        <v>43.5</v>
      </c>
      <c r="L33" s="22"/>
      <c r="M33" s="22"/>
      <c r="N33" s="22"/>
      <c r="O33" s="27"/>
      <c r="P33" s="22">
        <v>4.7</v>
      </c>
      <c r="Q33" s="27"/>
      <c r="R33" s="22"/>
      <c r="S33" s="26">
        <v>72.8</v>
      </c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121</v>
      </c>
      <c r="AG33" s="27">
        <f aca="true" t="shared" si="6" ref="AG33:AG38">B33+C33-AF33</f>
        <v>336.4</v>
      </c>
    </row>
    <row r="34" spans="1:33" ht="15.75">
      <c r="A34" s="3" t="s">
        <v>5</v>
      </c>
      <c r="B34" s="22">
        <v>142.2</v>
      </c>
      <c r="C34" s="22"/>
      <c r="D34" s="22"/>
      <c r="E34" s="22"/>
      <c r="F34" s="22"/>
      <c r="G34" s="22"/>
      <c r="H34" s="22"/>
      <c r="I34" s="22"/>
      <c r="J34" s="26"/>
      <c r="K34" s="22">
        <v>43.5</v>
      </c>
      <c r="L34" s="22"/>
      <c r="M34" s="22"/>
      <c r="N34" s="22"/>
      <c r="O34" s="22"/>
      <c r="P34" s="22"/>
      <c r="Q34" s="27"/>
      <c r="R34" s="22"/>
      <c r="S34" s="26">
        <v>72.8</v>
      </c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116.3</v>
      </c>
      <c r="AG34" s="27">
        <f t="shared" si="6"/>
        <v>25.89999999999999</v>
      </c>
    </row>
    <row r="35" spans="1:33" ht="15.75">
      <c r="A35" s="3" t="s">
        <v>1</v>
      </c>
      <c r="B35" s="22">
        <v>25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25</v>
      </c>
    </row>
    <row r="36" spans="1:33" ht="15.75">
      <c r="A36" s="3" t="s">
        <v>2</v>
      </c>
      <c r="B36" s="44">
        <v>11.2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>
        <v>4.7</v>
      </c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4.7</v>
      </c>
      <c r="AG36" s="27">
        <f t="shared" si="6"/>
        <v>6.499999999999999</v>
      </c>
    </row>
    <row r="37" spans="1:33" ht="15.75">
      <c r="A37" s="3" t="s">
        <v>17</v>
      </c>
      <c r="B37" s="22">
        <v>263.7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263.7</v>
      </c>
    </row>
    <row r="38" spans="1:33" ht="15.75" hidden="1">
      <c r="A38" s="3" t="s">
        <v>16</v>
      </c>
      <c r="B38" s="22"/>
      <c r="C38" s="22"/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15.300000000000011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</v>
      </c>
      <c r="AG39" s="27">
        <f>AG33-AG34-AG36-AG38-AG35-AG37</f>
        <v>15.300000000000011</v>
      </c>
    </row>
    <row r="40" spans="1:33" ht="15" customHeight="1">
      <c r="A40" s="4" t="s">
        <v>33</v>
      </c>
      <c r="B40" s="22">
        <v>627.5</v>
      </c>
      <c r="C40" s="22"/>
      <c r="D40" s="22"/>
      <c r="E40" s="22"/>
      <c r="F40" s="22"/>
      <c r="G40" s="22"/>
      <c r="H40" s="22"/>
      <c r="I40" s="22"/>
      <c r="J40" s="26"/>
      <c r="K40" s="22">
        <v>224.1</v>
      </c>
      <c r="L40" s="22"/>
      <c r="M40" s="22"/>
      <c r="N40" s="22"/>
      <c r="O40" s="27"/>
      <c r="P40" s="22"/>
      <c r="Q40" s="27"/>
      <c r="R40" s="27"/>
      <c r="S40" s="26"/>
      <c r="T40" s="26">
        <v>260.8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484.9</v>
      </c>
      <c r="AG40" s="27">
        <f aca="true" t="shared" si="8" ref="AG40:AG45">B40+C40-AF40</f>
        <v>142.60000000000002</v>
      </c>
    </row>
    <row r="41" spans="1:34" ht="15.75">
      <c r="A41" s="3" t="s">
        <v>5</v>
      </c>
      <c r="B41" s="22">
        <v>539.5</v>
      </c>
      <c r="C41" s="22"/>
      <c r="D41" s="22"/>
      <c r="E41" s="22"/>
      <c r="F41" s="22"/>
      <c r="G41" s="22"/>
      <c r="H41" s="22"/>
      <c r="I41" s="22"/>
      <c r="J41" s="26"/>
      <c r="K41" s="22">
        <v>224.1</v>
      </c>
      <c r="L41" s="22"/>
      <c r="M41" s="22"/>
      <c r="N41" s="22"/>
      <c r="O41" s="27"/>
      <c r="P41" s="22"/>
      <c r="Q41" s="22"/>
      <c r="R41" s="22"/>
      <c r="S41" s="26"/>
      <c r="T41" s="26">
        <v>258.6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482.70000000000005</v>
      </c>
      <c r="AG41" s="27">
        <f t="shared" si="8"/>
        <v>56.799999999999955</v>
      </c>
      <c r="AH41" s="6"/>
    </row>
    <row r="42" spans="1:33" ht="15.75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2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2</v>
      </c>
    </row>
    <row r="44" spans="1:33" ht="15.75">
      <c r="A44" s="3" t="s">
        <v>2</v>
      </c>
      <c r="B44" s="22">
        <v>73.3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>
        <v>2.2</v>
      </c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2.2</v>
      </c>
      <c r="AG44" s="27">
        <f t="shared" si="8"/>
        <v>71.1</v>
      </c>
    </row>
    <row r="45" spans="1:33" ht="15.75" hidden="1">
      <c r="A45" s="3" t="s">
        <v>16</v>
      </c>
      <c r="B45" s="22"/>
      <c r="C45" s="22"/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12.700000000000003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-1.1546319456101628E-14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-1.1546319456101628E-14</v>
      </c>
      <c r="AG46" s="27">
        <f>AG40-AG41-AG42-AG43-AG44-AG45</f>
        <v>12.700000000000074</v>
      </c>
    </row>
    <row r="47" spans="1:33" ht="17.25" customHeight="1">
      <c r="A47" s="4" t="s">
        <v>15</v>
      </c>
      <c r="B47" s="36">
        <f>862.9+54.2</f>
        <v>917.1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/>
      <c r="N47" s="28"/>
      <c r="O47" s="31">
        <v>40</v>
      </c>
      <c r="P47" s="28"/>
      <c r="Q47" s="28"/>
      <c r="R47" s="28"/>
      <c r="S47" s="29">
        <v>388.7</v>
      </c>
      <c r="T47" s="29">
        <v>47.5</v>
      </c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476.2</v>
      </c>
      <c r="AG47" s="27">
        <f>B47+C47-AF47</f>
        <v>440.90000000000003</v>
      </c>
    </row>
    <row r="48" spans="1:33" ht="15.75">
      <c r="A48" s="3" t="s">
        <v>5</v>
      </c>
      <c r="B48" s="22">
        <v>6.2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6.2</v>
      </c>
    </row>
    <row r="49" spans="1:33" ht="15.75">
      <c r="A49" s="3" t="s">
        <v>17</v>
      </c>
      <c r="B49" s="22">
        <f>774.8+1.9</f>
        <v>776.6999999999999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/>
      <c r="N49" s="22"/>
      <c r="O49" s="27">
        <v>39.8</v>
      </c>
      <c r="P49" s="22"/>
      <c r="Q49" s="22"/>
      <c r="R49" s="22"/>
      <c r="S49" s="26">
        <v>388.5</v>
      </c>
      <c r="T49" s="26">
        <v>20.6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448.90000000000003</v>
      </c>
      <c r="AG49" s="27">
        <f>B49+C49-AF49</f>
        <v>327.7999999999999</v>
      </c>
    </row>
    <row r="50" spans="1:33" ht="30" hidden="1">
      <c r="A50" s="63" t="s">
        <v>40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134.20000000000005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0.20000000000000284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0.19999999999998863</v>
      </c>
      <c r="T51" s="22">
        <f t="shared" si="11"/>
        <v>26.9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27.29999999999999</v>
      </c>
      <c r="AG51" s="27">
        <f>AG47-AG49-AG48</f>
        <v>106.90000000000013</v>
      </c>
    </row>
    <row r="52" spans="1:33" ht="15" customHeight="1">
      <c r="A52" s="4" t="s">
        <v>0</v>
      </c>
      <c r="B52" s="22">
        <v>5188.7</v>
      </c>
      <c r="C52" s="22"/>
      <c r="D52" s="22"/>
      <c r="E52" s="22"/>
      <c r="F52" s="22"/>
      <c r="G52" s="22"/>
      <c r="H52" s="22"/>
      <c r="I52" s="22">
        <v>3050.1</v>
      </c>
      <c r="J52" s="26"/>
      <c r="K52" s="22"/>
      <c r="L52" s="22"/>
      <c r="M52" s="22">
        <v>485.9</v>
      </c>
      <c r="N52" s="22"/>
      <c r="O52" s="27">
        <v>95</v>
      </c>
      <c r="P52" s="22">
        <v>377.6</v>
      </c>
      <c r="Q52" s="22"/>
      <c r="R52" s="22">
        <v>203.9</v>
      </c>
      <c r="S52" s="26"/>
      <c r="T52" s="26"/>
      <c r="U52" s="26">
        <v>57.3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4269.8</v>
      </c>
      <c r="AG52" s="27">
        <f aca="true" t="shared" si="12" ref="AG52:AG59">B52+C52-AF52</f>
        <v>918.8999999999996</v>
      </c>
    </row>
    <row r="53" spans="1:33" ht="15" customHeight="1">
      <c r="A53" s="3" t="s">
        <v>2</v>
      </c>
      <c r="B53" s="22">
        <v>430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>
        <v>57.3</v>
      </c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57.3</v>
      </c>
      <c r="AG53" s="27">
        <f t="shared" si="12"/>
        <v>372.7</v>
      </c>
    </row>
    <row r="54" spans="1:34" ht="15" customHeight="1">
      <c r="A54" s="4" t="s">
        <v>9</v>
      </c>
      <c r="B54" s="44">
        <v>3776.7</v>
      </c>
      <c r="C54" s="22"/>
      <c r="D54" s="22"/>
      <c r="E54" s="22"/>
      <c r="F54" s="22"/>
      <c r="G54" s="22"/>
      <c r="H54" s="22"/>
      <c r="I54" s="22"/>
      <c r="J54" s="26">
        <v>1335</v>
      </c>
      <c r="K54" s="22"/>
      <c r="L54" s="22"/>
      <c r="M54" s="22">
        <v>343.1</v>
      </c>
      <c r="N54" s="22">
        <v>78.5</v>
      </c>
      <c r="O54" s="27"/>
      <c r="P54" s="22">
        <v>19.5</v>
      </c>
      <c r="Q54" s="27"/>
      <c r="R54" s="22">
        <v>60.6</v>
      </c>
      <c r="S54" s="26">
        <v>1286.4</v>
      </c>
      <c r="T54" s="26">
        <v>5</v>
      </c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3128.1</v>
      </c>
      <c r="AG54" s="22">
        <f t="shared" si="12"/>
        <v>648.5999999999999</v>
      </c>
      <c r="AH54" s="6"/>
    </row>
    <row r="55" spans="1:34" ht="15.75">
      <c r="A55" s="3" t="s">
        <v>5</v>
      </c>
      <c r="B55" s="22">
        <v>2769.9</v>
      </c>
      <c r="C55" s="22"/>
      <c r="D55" s="22"/>
      <c r="E55" s="22"/>
      <c r="F55" s="22"/>
      <c r="G55" s="22"/>
      <c r="H55" s="22"/>
      <c r="I55" s="22"/>
      <c r="J55" s="26">
        <v>1335</v>
      </c>
      <c r="K55" s="22"/>
      <c r="L55" s="22"/>
      <c r="M55" s="22"/>
      <c r="N55" s="22"/>
      <c r="O55" s="27"/>
      <c r="P55" s="22"/>
      <c r="Q55" s="27"/>
      <c r="R55" s="22"/>
      <c r="S55" s="26">
        <v>1268.2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2603.2</v>
      </c>
      <c r="AG55" s="22">
        <f t="shared" si="12"/>
        <v>166.70000000000027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192.2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>
        <v>10.5</v>
      </c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10.5</v>
      </c>
      <c r="AG57" s="22">
        <f t="shared" si="12"/>
        <v>181.7</v>
      </c>
    </row>
    <row r="58" spans="1:33" ht="15.75">
      <c r="A58" s="3" t="s">
        <v>17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/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809.4999999999997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343.1</v>
      </c>
      <c r="N60" s="22">
        <f t="shared" si="13"/>
        <v>78.5</v>
      </c>
      <c r="O60" s="22">
        <f t="shared" si="13"/>
        <v>0</v>
      </c>
      <c r="P60" s="22">
        <f t="shared" si="13"/>
        <v>19.5</v>
      </c>
      <c r="Q60" s="22">
        <f t="shared" si="13"/>
        <v>0</v>
      </c>
      <c r="R60" s="22">
        <f t="shared" si="13"/>
        <v>45</v>
      </c>
      <c r="S60" s="22">
        <f t="shared" si="13"/>
        <v>18.200000000000045</v>
      </c>
      <c r="T60" s="22">
        <f t="shared" si="13"/>
        <v>5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509.30000000000007</v>
      </c>
      <c r="AG60" s="22">
        <f>AG54-AG55-AG57-AG59-AG56-AG58</f>
        <v>300.19999999999965</v>
      </c>
    </row>
    <row r="61" spans="1:33" ht="15" customHeight="1">
      <c r="A61" s="4" t="s">
        <v>10</v>
      </c>
      <c r="B61" s="22">
        <v>64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0</v>
      </c>
      <c r="AG61" s="22">
        <f aca="true" t="shared" si="15" ref="AG61:AG67">B61+C61-AF61</f>
        <v>64</v>
      </c>
    </row>
    <row r="62" spans="1:33" ht="15" customHeight="1">
      <c r="A62" s="4" t="s">
        <v>11</v>
      </c>
      <c r="B62" s="22">
        <v>1266.3</v>
      </c>
      <c r="C62" s="22"/>
      <c r="D62" s="22"/>
      <c r="E62" s="22"/>
      <c r="F62" s="22"/>
      <c r="G62" s="22"/>
      <c r="H62" s="22"/>
      <c r="I62" s="22"/>
      <c r="J62" s="26">
        <v>8</v>
      </c>
      <c r="K62" s="22">
        <v>294.9</v>
      </c>
      <c r="L62" s="22"/>
      <c r="M62" s="22"/>
      <c r="N62" s="22"/>
      <c r="O62" s="27">
        <v>37.1</v>
      </c>
      <c r="P62" s="22">
        <v>10.7</v>
      </c>
      <c r="Q62" s="27"/>
      <c r="R62" s="22">
        <v>29.1</v>
      </c>
      <c r="S62" s="26">
        <v>464</v>
      </c>
      <c r="T62" s="26">
        <v>10.3</v>
      </c>
      <c r="U62" s="26">
        <v>76.6</v>
      </c>
      <c r="V62" s="26">
        <v>3.8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934.4999999999999</v>
      </c>
      <c r="AG62" s="22">
        <f t="shared" si="15"/>
        <v>331.80000000000007</v>
      </c>
    </row>
    <row r="63" spans="1:34" ht="15.75">
      <c r="A63" s="3" t="s">
        <v>5</v>
      </c>
      <c r="B63" s="22">
        <v>898.1</v>
      </c>
      <c r="C63" s="22"/>
      <c r="D63" s="22"/>
      <c r="E63" s="22"/>
      <c r="F63" s="22"/>
      <c r="G63" s="22"/>
      <c r="H63" s="22"/>
      <c r="I63" s="22"/>
      <c r="J63" s="26">
        <v>8</v>
      </c>
      <c r="K63" s="22">
        <v>294.9</v>
      </c>
      <c r="L63" s="22"/>
      <c r="M63" s="22"/>
      <c r="N63" s="22"/>
      <c r="O63" s="27"/>
      <c r="P63" s="22"/>
      <c r="Q63" s="27"/>
      <c r="R63" s="22"/>
      <c r="S63" s="26">
        <v>437.7</v>
      </c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740.5999999999999</v>
      </c>
      <c r="AG63" s="22">
        <f t="shared" si="15"/>
        <v>157.5000000000001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16.2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>
        <v>1.3</v>
      </c>
      <c r="U65" s="26"/>
      <c r="V65" s="26">
        <v>0.7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</v>
      </c>
      <c r="AG65" s="22">
        <f t="shared" si="15"/>
        <v>14.2</v>
      </c>
      <c r="AH65" s="6"/>
    </row>
    <row r="66" spans="1:33" ht="15.75">
      <c r="A66" s="3" t="s">
        <v>2</v>
      </c>
      <c r="B66" s="22">
        <v>36.5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>
        <v>10.7</v>
      </c>
      <c r="Q66" s="22"/>
      <c r="R66" s="22"/>
      <c r="S66" s="26"/>
      <c r="T66" s="26">
        <v>0.6</v>
      </c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11.299999999999999</v>
      </c>
      <c r="AG66" s="22">
        <f t="shared" si="15"/>
        <v>25.200000000000003</v>
      </c>
    </row>
    <row r="67" spans="1:33" ht="15.75" hidden="1">
      <c r="A67" s="3" t="s">
        <v>16</v>
      </c>
      <c r="B67" s="22"/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315.49999999999994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37.1</v>
      </c>
      <c r="P68" s="22">
        <f t="shared" si="16"/>
        <v>0</v>
      </c>
      <c r="Q68" s="22">
        <f t="shared" si="16"/>
        <v>0</v>
      </c>
      <c r="R68" s="22">
        <f t="shared" si="16"/>
        <v>29.1</v>
      </c>
      <c r="S68" s="22">
        <f t="shared" si="16"/>
        <v>26.30000000000001</v>
      </c>
      <c r="T68" s="22">
        <f t="shared" si="16"/>
        <v>8.4</v>
      </c>
      <c r="U68" s="22">
        <f t="shared" si="16"/>
        <v>76.6</v>
      </c>
      <c r="V68" s="22">
        <f t="shared" si="16"/>
        <v>3.0999999999999996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180.6</v>
      </c>
      <c r="AG68" s="22">
        <f>AG62-AG63-AG66-AG67-AG65-AG64</f>
        <v>134.89999999999998</v>
      </c>
    </row>
    <row r="69" spans="1:33" ht="31.5">
      <c r="A69" s="4" t="s">
        <v>32</v>
      </c>
      <c r="B69" s="22">
        <v>244.5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244.5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596.2-54.2</f>
        <v>542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>
        <v>102.1</v>
      </c>
      <c r="T72" s="26">
        <v>4.4</v>
      </c>
      <c r="U72" s="26">
        <f>0.2+0.8</f>
        <v>1</v>
      </c>
      <c r="V72" s="26">
        <v>-0.3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107.2</v>
      </c>
      <c r="AG72" s="30">
        <f t="shared" si="17"/>
        <v>434.8</v>
      </c>
    </row>
    <row r="73" spans="1:33" ht="15" customHeight="1">
      <c r="A73" s="3" t="s">
        <v>5</v>
      </c>
      <c r="B73" s="22">
        <f>24.8-6.2</f>
        <v>18.6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17.1</v>
      </c>
      <c r="T73" s="26"/>
      <c r="U73" s="26"/>
      <c r="V73" s="26">
        <v>-0.3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1.8000000000000007</v>
      </c>
    </row>
    <row r="74" spans="1:33" ht="15" customHeight="1">
      <c r="A74" s="3" t="s">
        <v>2</v>
      </c>
      <c r="B74" s="22">
        <v>137.2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137.2</v>
      </c>
    </row>
    <row r="75" spans="1:33" ht="15" customHeight="1">
      <c r="A75" s="3" t="s">
        <v>17</v>
      </c>
      <c r="B75" s="22">
        <v>2.8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>
        <v>2.8</v>
      </c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0</v>
      </c>
    </row>
    <row r="76" spans="1:33" s="11" customFormat="1" ht="31.5">
      <c r="A76" s="12" t="s">
        <v>21</v>
      </c>
      <c r="B76" s="22">
        <v>177.9</v>
      </c>
      <c r="C76" s="22"/>
      <c r="D76" s="22"/>
      <c r="E76" s="28"/>
      <c r="F76" s="28"/>
      <c r="G76" s="28"/>
      <c r="H76" s="28"/>
      <c r="I76" s="28"/>
      <c r="J76" s="29">
        <v>26.5</v>
      </c>
      <c r="K76" s="28"/>
      <c r="L76" s="28"/>
      <c r="M76" s="28"/>
      <c r="N76" s="28"/>
      <c r="O76" s="28"/>
      <c r="P76" s="28"/>
      <c r="Q76" s="31"/>
      <c r="R76" s="28"/>
      <c r="S76" s="29"/>
      <c r="T76" s="29">
        <v>42.3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68.8</v>
      </c>
      <c r="AG76" s="30">
        <f t="shared" si="17"/>
        <v>109.10000000000001</v>
      </c>
    </row>
    <row r="77" spans="1:33" s="11" customFormat="1" ht="15.75">
      <c r="A77" s="3" t="s">
        <v>5</v>
      </c>
      <c r="B77" s="22">
        <v>74.6</v>
      </c>
      <c r="C77" s="22"/>
      <c r="D77" s="22"/>
      <c r="E77" s="28"/>
      <c r="F77" s="28"/>
      <c r="G77" s="28"/>
      <c r="H77" s="28"/>
      <c r="I77" s="28"/>
      <c r="J77" s="29">
        <v>26.5</v>
      </c>
      <c r="K77" s="28"/>
      <c r="L77" s="28"/>
      <c r="M77" s="28"/>
      <c r="N77" s="28"/>
      <c r="O77" s="28"/>
      <c r="P77" s="28"/>
      <c r="Q77" s="31"/>
      <c r="R77" s="28"/>
      <c r="S77" s="29"/>
      <c r="T77" s="29">
        <v>39.8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66.3</v>
      </c>
      <c r="AG77" s="30">
        <f t="shared" si="17"/>
        <v>8.299999999999997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9.5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9.5</v>
      </c>
    </row>
    <row r="81" spans="1:33" s="11" customFormat="1" ht="15.75">
      <c r="A81" s="12" t="s">
        <v>36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428.6</v>
      </c>
      <c r="AH88" s="11"/>
    </row>
    <row r="89" spans="1:34" ht="15.75">
      <c r="A89" s="4" t="s">
        <v>45</v>
      </c>
      <c r="B89" s="22">
        <v>1245.8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6"/>
      <c r="T89" s="26">
        <v>112.8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112.8</v>
      </c>
      <c r="AG89" s="22">
        <f t="shared" si="17"/>
        <v>1133</v>
      </c>
      <c r="AH89" s="11"/>
    </row>
    <row r="90" spans="1:34" ht="15.75">
      <c r="A90" s="4" t="s">
        <v>42</v>
      </c>
      <c r="B90" s="22">
        <f>1855.3+561.5</f>
        <v>2416.8</v>
      </c>
      <c r="C90" s="22"/>
      <c r="D90" s="22"/>
      <c r="E90" s="22"/>
      <c r="F90" s="22"/>
      <c r="G90" s="22"/>
      <c r="H90" s="22">
        <v>805.6</v>
      </c>
      <c r="I90" s="22"/>
      <c r="J90" s="22"/>
      <c r="K90" s="22"/>
      <c r="L90" s="22"/>
      <c r="M90" s="22"/>
      <c r="N90" s="22"/>
      <c r="O90" s="22">
        <v>805.6</v>
      </c>
      <c r="P90" s="22"/>
      <c r="Q90" s="22"/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40.8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40.8</v>
      </c>
      <c r="AH91" s="11"/>
    </row>
    <row r="92" spans="1:34" ht="15.75" hidden="1">
      <c r="A92" s="4" t="s">
        <v>44</v>
      </c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69138.2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805.6</v>
      </c>
      <c r="I94" s="42">
        <f t="shared" si="18"/>
        <v>3554.2</v>
      </c>
      <c r="J94" s="42">
        <f t="shared" si="18"/>
        <v>7695.3</v>
      </c>
      <c r="K94" s="42">
        <f t="shared" si="18"/>
        <v>9647.4</v>
      </c>
      <c r="L94" s="42">
        <f t="shared" si="18"/>
        <v>0</v>
      </c>
      <c r="M94" s="42">
        <f t="shared" si="18"/>
        <v>842.4</v>
      </c>
      <c r="N94" s="42">
        <f t="shared" si="18"/>
        <v>78.9</v>
      </c>
      <c r="O94" s="42">
        <f t="shared" si="18"/>
        <v>979.9</v>
      </c>
      <c r="P94" s="42">
        <f t="shared" si="18"/>
        <v>1207.9</v>
      </c>
      <c r="Q94" s="42">
        <f t="shared" si="18"/>
        <v>0</v>
      </c>
      <c r="R94" s="42">
        <f t="shared" si="18"/>
        <v>1052.8</v>
      </c>
      <c r="S94" s="42">
        <f t="shared" si="18"/>
        <v>23122.5</v>
      </c>
      <c r="T94" s="42">
        <f t="shared" si="18"/>
        <v>2060.7000000000003</v>
      </c>
      <c r="U94" s="42">
        <f t="shared" si="18"/>
        <v>1892.2</v>
      </c>
      <c r="V94" s="42">
        <f t="shared" si="18"/>
        <v>948.6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53888.40000000001</v>
      </c>
      <c r="AG94" s="58">
        <f>AG10+AG15+AG24+AG33+AG47+AG52+AG54+AG61+AG62+AG69+AG71+AG72+AG76+AG81+AG82+AG83+AG88+AG89+AG90+AG91+AG70+AG40+AG92</f>
        <v>15249.799999999992</v>
      </c>
    </row>
    <row r="95" spans="1:33" ht="15.75">
      <c r="A95" s="3" t="s">
        <v>5</v>
      </c>
      <c r="B95" s="22">
        <f>B11+B17+B26+B34+B55+B63+B73+B41+B77+B48</f>
        <v>45135.399999999994</v>
      </c>
      <c r="C95" s="22">
        <f aca="true" t="shared" si="19" ref="C95:AD95">C11+C17+C26+C34+C55+C63+C73+C41+C77+C48</f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504.1</v>
      </c>
      <c r="J95" s="22">
        <f t="shared" si="19"/>
        <v>7692.599999999999</v>
      </c>
      <c r="K95" s="22">
        <f t="shared" si="19"/>
        <v>9647</v>
      </c>
      <c r="L95" s="22">
        <f t="shared" si="19"/>
        <v>0</v>
      </c>
      <c r="M95" s="22">
        <f t="shared" si="19"/>
        <v>12.5</v>
      </c>
      <c r="N95" s="22">
        <f t="shared" si="19"/>
        <v>0.1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1</v>
      </c>
      <c r="S95" s="22">
        <f t="shared" si="19"/>
        <v>22119.499999999996</v>
      </c>
      <c r="T95" s="22">
        <f t="shared" si="19"/>
        <v>991.5999999999999</v>
      </c>
      <c r="U95" s="22">
        <f t="shared" si="19"/>
        <v>710.4</v>
      </c>
      <c r="V95" s="22">
        <f t="shared" si="19"/>
        <v>-0.3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41678.499999999985</v>
      </c>
      <c r="AG95" s="27">
        <f>B95+C95-AF95</f>
        <v>3456.9000000000087</v>
      </c>
    </row>
    <row r="96" spans="1:33" ht="15.75">
      <c r="A96" s="3" t="s">
        <v>2</v>
      </c>
      <c r="B96" s="22">
        <f aca="true" t="shared" si="20" ref="B96:AD96">B12+B20+B29+B36+B57+B66+B44+B80+B74+B53</f>
        <v>8330.2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450.6</v>
      </c>
      <c r="Q96" s="22">
        <f t="shared" si="20"/>
        <v>0</v>
      </c>
      <c r="R96" s="22">
        <f t="shared" si="20"/>
        <v>352.2</v>
      </c>
      <c r="S96" s="22">
        <f t="shared" si="20"/>
        <v>158.8</v>
      </c>
      <c r="T96" s="22">
        <f t="shared" si="20"/>
        <v>618.3000000000001</v>
      </c>
      <c r="U96" s="22">
        <f t="shared" si="20"/>
        <v>701.3</v>
      </c>
      <c r="V96" s="22">
        <f t="shared" si="20"/>
        <v>111.10000000000001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2392.2999999999997</v>
      </c>
      <c r="AG96" s="27">
        <f>B96+C96-AF96</f>
        <v>5937.9000000000015</v>
      </c>
    </row>
    <row r="97" spans="1:33" ht="15.75">
      <c r="A97" s="3" t="s">
        <v>3</v>
      </c>
      <c r="B97" s="22">
        <f aca="true" t="shared" si="21" ref="B97:AA97">B18+B27+B42+B64+B78</f>
        <v>1003.6999999999999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80.5</v>
      </c>
      <c r="S97" s="22">
        <f t="shared" si="21"/>
        <v>183.6</v>
      </c>
      <c r="T97" s="22">
        <f t="shared" si="21"/>
        <v>169.4</v>
      </c>
      <c r="U97" s="22">
        <f t="shared" si="21"/>
        <v>194.4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627.9</v>
      </c>
      <c r="AG97" s="27">
        <f>B97+C97-AF97</f>
        <v>375.79999999999995</v>
      </c>
    </row>
    <row r="98" spans="1:33" ht="15.75">
      <c r="A98" s="3" t="s">
        <v>1</v>
      </c>
      <c r="B98" s="22">
        <f>B19+B28+B65+B35+B43+B56+B79</f>
        <v>1669.4</v>
      </c>
      <c r="C98" s="22">
        <f aca="true" t="shared" si="22" ref="C98:AD98">C19+C28+C65+C35+C43+C56+C79</f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0</v>
      </c>
      <c r="P98" s="22">
        <f t="shared" si="22"/>
        <v>345.3</v>
      </c>
      <c r="Q98" s="22">
        <f t="shared" si="22"/>
        <v>0</v>
      </c>
      <c r="R98" s="22">
        <f t="shared" si="22"/>
        <v>234.10000000000002</v>
      </c>
      <c r="S98" s="22">
        <f t="shared" si="22"/>
        <v>78.1</v>
      </c>
      <c r="T98" s="22">
        <f t="shared" si="22"/>
        <v>91.2</v>
      </c>
      <c r="U98" s="22">
        <f t="shared" si="22"/>
        <v>179.10000000000002</v>
      </c>
      <c r="V98" s="22">
        <f t="shared" si="22"/>
        <v>0.7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928.5000000000002</v>
      </c>
      <c r="AG98" s="27">
        <f>B98+C98-AF98</f>
        <v>740.8999999999999</v>
      </c>
    </row>
    <row r="99" spans="1:33" ht="15.75">
      <c r="A99" s="3" t="s">
        <v>17</v>
      </c>
      <c r="B99" s="22">
        <f aca="true" t="shared" si="23" ref="B99:AD99">B21+B30+B49+B37+B58+B13+B75</f>
        <v>1190.3999999999999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39.8</v>
      </c>
      <c r="P99" s="22">
        <f t="shared" si="23"/>
        <v>5</v>
      </c>
      <c r="Q99" s="22">
        <f t="shared" si="23"/>
        <v>0</v>
      </c>
      <c r="R99" s="22">
        <f t="shared" si="23"/>
        <v>78.69999999999999</v>
      </c>
      <c r="S99" s="22">
        <f t="shared" si="23"/>
        <v>413.90000000000003</v>
      </c>
      <c r="T99" s="22">
        <f t="shared" si="23"/>
        <v>20.6</v>
      </c>
      <c r="U99" s="22">
        <f t="shared" si="23"/>
        <v>5.3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563.3</v>
      </c>
      <c r="AG99" s="27">
        <f>B99+C99-AF99</f>
        <v>627.0999999999999</v>
      </c>
    </row>
    <row r="100" spans="1:33" ht="12.75">
      <c r="A100" s="1" t="s">
        <v>41</v>
      </c>
      <c r="B100" s="2">
        <f aca="true" t="shared" si="24" ref="B100:U100">B94-B95-B96-B97-B98-B99</f>
        <v>11809.100000000002</v>
      </c>
      <c r="C100" s="2">
        <f t="shared" si="24"/>
        <v>0</v>
      </c>
      <c r="D100" s="2">
        <f t="shared" si="24"/>
        <v>0</v>
      </c>
      <c r="E100" s="2">
        <f t="shared" si="24"/>
        <v>0</v>
      </c>
      <c r="F100" s="2">
        <f t="shared" si="24"/>
        <v>0</v>
      </c>
      <c r="G100" s="2">
        <f t="shared" si="24"/>
        <v>0</v>
      </c>
      <c r="H100" s="2">
        <f t="shared" si="24"/>
        <v>805.6</v>
      </c>
      <c r="I100" s="2">
        <f t="shared" si="24"/>
        <v>3050.1</v>
      </c>
      <c r="J100" s="2">
        <f t="shared" si="24"/>
        <v>2.7000000000007276</v>
      </c>
      <c r="K100" s="2">
        <f t="shared" si="24"/>
        <v>0.3999999999996362</v>
      </c>
      <c r="L100" s="2">
        <f t="shared" si="24"/>
        <v>0</v>
      </c>
      <c r="M100" s="2">
        <f t="shared" si="24"/>
        <v>829.9</v>
      </c>
      <c r="N100" s="2">
        <f t="shared" si="24"/>
        <v>78.80000000000001</v>
      </c>
      <c r="O100" s="2">
        <f t="shared" si="24"/>
        <v>940.1</v>
      </c>
      <c r="P100" s="2">
        <f t="shared" si="24"/>
        <v>407.00000000000006</v>
      </c>
      <c r="Q100" s="2">
        <f t="shared" si="24"/>
        <v>0</v>
      </c>
      <c r="R100" s="2">
        <f t="shared" si="24"/>
        <v>306.2999999999999</v>
      </c>
      <c r="S100" s="2">
        <f t="shared" si="24"/>
        <v>168.6000000000036</v>
      </c>
      <c r="T100" s="2">
        <f t="shared" si="24"/>
        <v>169.60000000000034</v>
      </c>
      <c r="U100" s="2">
        <f t="shared" si="24"/>
        <v>101.70000000000023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7697.900000000024</v>
      </c>
      <c r="AG100" s="2">
        <f>AG94-AG95-AG96-AG97-AG98-AG99</f>
        <v>4111.1999999999825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D27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53" sqref="A5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54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7269.4</v>
      </c>
      <c r="D7" s="45"/>
      <c r="E7" s="46">
        <v>14369.6</v>
      </c>
      <c r="F7" s="46"/>
      <c r="G7" s="46"/>
      <c r="H7" s="74"/>
      <c r="I7" s="46"/>
      <c r="J7" s="47"/>
      <c r="K7" s="46"/>
      <c r="L7" s="46"/>
      <c r="M7" s="46">
        <v>14369.5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37903.59999999999</v>
      </c>
      <c r="C8" s="40">
        <v>161156.1</v>
      </c>
      <c r="D8" s="43">
        <f>8703.4-20.1</f>
        <v>8683.3</v>
      </c>
      <c r="E8" s="55">
        <v>2328.1</v>
      </c>
      <c r="F8" s="55">
        <v>1007.3</v>
      </c>
      <c r="G8" s="55">
        <v>2450.7</v>
      </c>
      <c r="H8" s="55">
        <v>3468.5</v>
      </c>
      <c r="I8" s="55">
        <v>6516.4</v>
      </c>
      <c r="J8" s="56">
        <v>2415.3</v>
      </c>
      <c r="K8" s="55">
        <v>2918.3</v>
      </c>
      <c r="L8" s="55">
        <v>2612.3</v>
      </c>
      <c r="M8" s="55">
        <v>2465.9</v>
      </c>
      <c r="N8" s="55">
        <v>3037.5</v>
      </c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71232.59999999999</v>
      </c>
      <c r="C9" s="24">
        <f t="shared" si="0"/>
        <v>15249.799999999997</v>
      </c>
      <c r="D9" s="24">
        <f t="shared" si="0"/>
        <v>1386.1</v>
      </c>
      <c r="E9" s="24">
        <f t="shared" si="0"/>
        <v>1016.6</v>
      </c>
      <c r="F9" s="24">
        <f t="shared" si="0"/>
        <v>3263.6</v>
      </c>
      <c r="G9" s="24">
        <f t="shared" si="0"/>
        <v>627.4</v>
      </c>
      <c r="H9" s="24">
        <f t="shared" si="0"/>
        <v>307.8</v>
      </c>
      <c r="I9" s="24">
        <f t="shared" si="0"/>
        <v>4017.1</v>
      </c>
      <c r="J9" s="24">
        <f t="shared" si="0"/>
        <v>79.4</v>
      </c>
      <c r="K9" s="24">
        <f t="shared" si="0"/>
        <v>2327</v>
      </c>
      <c r="L9" s="24">
        <f t="shared" si="0"/>
        <v>5489.7</v>
      </c>
      <c r="M9" s="24">
        <f t="shared" si="0"/>
        <v>12977.099999999999</v>
      </c>
      <c r="N9" s="24">
        <f t="shared" si="0"/>
        <v>183.79999999999998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31675.6</v>
      </c>
      <c r="AG9" s="50">
        <f>AG10+AG15+AG24+AG33+AG47+AG52+AG54+AG61+AG62+AG71+AG72+AG76+AG88+AG81+AG83+AG82+AG69+AG89+AG91+AG90+AG70+AG40+AG92</f>
        <v>54806.8</v>
      </c>
      <c r="AH9" s="49"/>
      <c r="AI9" s="49"/>
    </row>
    <row r="10" spans="1:33" ht="15.75">
      <c r="A10" s="4" t="s">
        <v>4</v>
      </c>
      <c r="B10" s="22">
        <v>4181.8</v>
      </c>
      <c r="C10" s="22">
        <v>1361.7</v>
      </c>
      <c r="D10" s="22"/>
      <c r="E10" s="22">
        <v>59.2</v>
      </c>
      <c r="F10" s="22">
        <v>17.1</v>
      </c>
      <c r="G10" s="22">
        <v>69.2</v>
      </c>
      <c r="H10" s="22">
        <v>0.3</v>
      </c>
      <c r="I10" s="22">
        <v>0.1</v>
      </c>
      <c r="J10" s="25">
        <v>65</v>
      </c>
      <c r="K10" s="22">
        <v>384.8</v>
      </c>
      <c r="L10" s="22">
        <v>526.3</v>
      </c>
      <c r="M10" s="22">
        <v>246.2</v>
      </c>
      <c r="N10" s="22">
        <v>20.6</v>
      </c>
      <c r="O10" s="27"/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1388.8</v>
      </c>
      <c r="AG10" s="27">
        <f>B10+C10-AF10</f>
        <v>4154.7</v>
      </c>
    </row>
    <row r="11" spans="1:33" ht="15.75">
      <c r="A11" s="3" t="s">
        <v>5</v>
      </c>
      <c r="B11" s="22">
        <v>3543.7</v>
      </c>
      <c r="C11" s="22">
        <v>771.9</v>
      </c>
      <c r="D11" s="22"/>
      <c r="E11" s="22">
        <v>56.2</v>
      </c>
      <c r="F11" s="22"/>
      <c r="G11" s="22">
        <v>67.4</v>
      </c>
      <c r="H11" s="22"/>
      <c r="I11" s="22"/>
      <c r="J11" s="26">
        <v>61.4</v>
      </c>
      <c r="K11" s="22">
        <v>375.5</v>
      </c>
      <c r="L11" s="22">
        <v>513</v>
      </c>
      <c r="M11" s="22">
        <v>243.5</v>
      </c>
      <c r="N11" s="22"/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1317</v>
      </c>
      <c r="AG11" s="27">
        <f>B11+C11-AF11</f>
        <v>2998.5999999999995</v>
      </c>
    </row>
    <row r="12" spans="1:33" ht="15.75">
      <c r="A12" s="3" t="s">
        <v>2</v>
      </c>
      <c r="B12" s="36">
        <v>272.7</v>
      </c>
      <c r="C12" s="22">
        <v>256.8</v>
      </c>
      <c r="D12" s="22"/>
      <c r="E12" s="22"/>
      <c r="F12" s="22">
        <v>9.8</v>
      </c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9.8</v>
      </c>
      <c r="AG12" s="27">
        <f>B12+C12-AF12</f>
        <v>519.7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365.4000000000004</v>
      </c>
      <c r="C14" s="22">
        <v>332.99999999999926</v>
      </c>
      <c r="D14" s="22">
        <f t="shared" si="2"/>
        <v>0</v>
      </c>
      <c r="E14" s="22">
        <f t="shared" si="2"/>
        <v>3</v>
      </c>
      <c r="F14" s="22">
        <f t="shared" si="2"/>
        <v>7.300000000000001</v>
      </c>
      <c r="G14" s="22">
        <f t="shared" si="2"/>
        <v>1.7999999999999972</v>
      </c>
      <c r="H14" s="22">
        <f t="shared" si="2"/>
        <v>0.3</v>
      </c>
      <c r="I14" s="22">
        <f t="shared" si="2"/>
        <v>0.1</v>
      </c>
      <c r="J14" s="22">
        <f t="shared" si="2"/>
        <v>3.6000000000000014</v>
      </c>
      <c r="K14" s="22">
        <f t="shared" si="2"/>
        <v>9.300000000000011</v>
      </c>
      <c r="L14" s="22">
        <f t="shared" si="2"/>
        <v>13.299999999999955</v>
      </c>
      <c r="M14" s="22">
        <f t="shared" si="2"/>
        <v>2.6999999999999886</v>
      </c>
      <c r="N14" s="22">
        <f t="shared" si="2"/>
        <v>20.6</v>
      </c>
      <c r="O14" s="22">
        <f t="shared" si="2"/>
        <v>0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61.99999999999996</v>
      </c>
      <c r="AG14" s="27">
        <f>AG10-AG11-AG12-AG13</f>
        <v>636.4000000000003</v>
      </c>
    </row>
    <row r="15" spans="1:33" ht="15" customHeight="1">
      <c r="A15" s="4" t="s">
        <v>6</v>
      </c>
      <c r="B15" s="22">
        <v>28975.7</v>
      </c>
      <c r="C15" s="22">
        <v>6559.8</v>
      </c>
      <c r="D15" s="44">
        <f>115.9+1.9</f>
        <v>117.80000000000001</v>
      </c>
      <c r="E15" s="44">
        <v>63.8</v>
      </c>
      <c r="F15" s="22">
        <v>2988.6</v>
      </c>
      <c r="G15" s="22">
        <v>54.7</v>
      </c>
      <c r="H15" s="22"/>
      <c r="I15" s="22"/>
      <c r="J15" s="26"/>
      <c r="K15" s="22"/>
      <c r="L15" s="22">
        <v>4050.2</v>
      </c>
      <c r="M15" s="22">
        <v>6796.2</v>
      </c>
      <c r="N15" s="22">
        <v>2.3</v>
      </c>
      <c r="O15" s="27"/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14073.599999999999</v>
      </c>
      <c r="AG15" s="27">
        <f aca="true" t="shared" si="3" ref="AG15:AG31">B15+C15-AF15</f>
        <v>21461.9</v>
      </c>
    </row>
    <row r="16" spans="1:34" s="70" customFormat="1" ht="15" customHeight="1">
      <c r="A16" s="65" t="s">
        <v>46</v>
      </c>
      <c r="B16" s="66">
        <v>13600.3</v>
      </c>
      <c r="C16" s="66">
        <v>649.9</v>
      </c>
      <c r="D16" s="67">
        <v>1.9</v>
      </c>
      <c r="E16" s="67">
        <v>63.8</v>
      </c>
      <c r="F16" s="66">
        <v>1046.3</v>
      </c>
      <c r="G16" s="66"/>
      <c r="H16" s="66"/>
      <c r="I16" s="66"/>
      <c r="J16" s="68"/>
      <c r="K16" s="66"/>
      <c r="L16" s="66"/>
      <c r="M16" s="66">
        <v>6719.3</v>
      </c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7831.3</v>
      </c>
      <c r="AG16" s="71">
        <f t="shared" si="3"/>
        <v>6418.899999999999</v>
      </c>
      <c r="AH16" s="75"/>
    </row>
    <row r="17" spans="1:34" ht="15.75">
      <c r="A17" s="3" t="s">
        <v>5</v>
      </c>
      <c r="B17" s="22">
        <f>14671.5+718.4</f>
        <v>15389.9</v>
      </c>
      <c r="C17" s="22">
        <v>1553.5</v>
      </c>
      <c r="D17" s="22"/>
      <c r="E17" s="22"/>
      <c r="F17" s="22"/>
      <c r="G17" s="22"/>
      <c r="H17" s="22"/>
      <c r="I17" s="22"/>
      <c r="J17" s="26"/>
      <c r="K17" s="22"/>
      <c r="L17" s="22">
        <v>4022.1</v>
      </c>
      <c r="M17" s="22">
        <v>5553.6</v>
      </c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9575.7</v>
      </c>
      <c r="AG17" s="27">
        <f t="shared" si="3"/>
        <v>7367.700000000001</v>
      </c>
      <c r="AH17" s="6"/>
    </row>
    <row r="18" spans="1:33" ht="15.75">
      <c r="A18" s="3" t="s">
        <v>3</v>
      </c>
      <c r="B18" s="22">
        <v>1</v>
      </c>
      <c r="C18" s="22">
        <v>0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1</v>
      </c>
    </row>
    <row r="19" spans="1:33" ht="15.75">
      <c r="A19" s="3" t="s">
        <v>1</v>
      </c>
      <c r="B19" s="22">
        <v>1399.3</v>
      </c>
      <c r="C19" s="22">
        <v>681.9</v>
      </c>
      <c r="D19" s="22">
        <v>115.9</v>
      </c>
      <c r="E19" s="22"/>
      <c r="F19" s="22">
        <v>196.4</v>
      </c>
      <c r="G19" s="22">
        <v>52.1</v>
      </c>
      <c r="H19" s="22"/>
      <c r="I19" s="22"/>
      <c r="J19" s="26"/>
      <c r="K19" s="22"/>
      <c r="L19" s="22"/>
      <c r="M19" s="22">
        <v>68.7</v>
      </c>
      <c r="N19" s="22"/>
      <c r="O19" s="27"/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433.1</v>
      </c>
      <c r="AG19" s="27">
        <f t="shared" si="3"/>
        <v>1648.1</v>
      </c>
    </row>
    <row r="20" spans="1:33" ht="15.75">
      <c r="A20" s="3" t="s">
        <v>2</v>
      </c>
      <c r="B20" s="22">
        <f>12734.4-718.4</f>
        <v>12016</v>
      </c>
      <c r="C20" s="22">
        <v>4219.7</v>
      </c>
      <c r="D20" s="22">
        <v>1.9</v>
      </c>
      <c r="E20" s="22">
        <v>63.8</v>
      </c>
      <c r="F20" s="22">
        <v>2790</v>
      </c>
      <c r="G20" s="22">
        <v>1.3</v>
      </c>
      <c r="H20" s="22"/>
      <c r="I20" s="22"/>
      <c r="J20" s="26"/>
      <c r="K20" s="22"/>
      <c r="L20" s="22">
        <v>13.9</v>
      </c>
      <c r="M20" s="22">
        <v>1170.1</v>
      </c>
      <c r="N20" s="22">
        <v>0.8</v>
      </c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4041.8</v>
      </c>
      <c r="AG20" s="27">
        <f t="shared" si="3"/>
        <v>12193.900000000001</v>
      </c>
    </row>
    <row r="21" spans="1:33" ht="15.75">
      <c r="A21" s="3" t="s">
        <v>17</v>
      </c>
      <c r="B21" s="22">
        <v>10.4</v>
      </c>
      <c r="C21" s="22">
        <v>11.1</v>
      </c>
      <c r="D21" s="22"/>
      <c r="E21" s="22"/>
      <c r="F21" s="22"/>
      <c r="G21" s="22"/>
      <c r="H21" s="22"/>
      <c r="I21" s="22"/>
      <c r="J21" s="26"/>
      <c r="K21" s="22"/>
      <c r="L21" s="22">
        <v>12.7</v>
      </c>
      <c r="M21" s="22">
        <v>3.8</v>
      </c>
      <c r="N21" s="22"/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16.5</v>
      </c>
      <c r="AG21" s="27">
        <f t="shared" si="3"/>
        <v>5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159.1000000000018</v>
      </c>
      <c r="C23" s="22">
        <v>93.59999999999802</v>
      </c>
      <c r="D23" s="22">
        <f t="shared" si="4"/>
        <v>5.773159728050814E-15</v>
      </c>
      <c r="E23" s="22">
        <f t="shared" si="4"/>
        <v>0</v>
      </c>
      <c r="F23" s="22">
        <f t="shared" si="4"/>
        <v>2.199999999999818</v>
      </c>
      <c r="G23" s="22">
        <f t="shared" si="4"/>
        <v>1.3000000000000014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1.4999999999999094</v>
      </c>
      <c r="M23" s="22">
        <f t="shared" si="4"/>
        <v>-5.000444502911705E-13</v>
      </c>
      <c r="N23" s="22">
        <f t="shared" si="4"/>
        <v>1.4999999999999998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6.499999999999234</v>
      </c>
      <c r="AG23" s="27">
        <f t="shared" si="3"/>
        <v>246.20000000000059</v>
      </c>
    </row>
    <row r="24" spans="1:33" ht="15" customHeight="1">
      <c r="A24" s="4" t="s">
        <v>7</v>
      </c>
      <c r="B24" s="22">
        <v>18586.7</v>
      </c>
      <c r="C24" s="22">
        <v>2054.3</v>
      </c>
      <c r="D24" s="22">
        <v>565.7</v>
      </c>
      <c r="E24" s="22"/>
      <c r="F24" s="22"/>
      <c r="G24" s="22">
        <v>282.3</v>
      </c>
      <c r="H24" s="22">
        <v>195.5</v>
      </c>
      <c r="I24" s="22"/>
      <c r="J24" s="26"/>
      <c r="K24" s="22">
        <v>508.6</v>
      </c>
      <c r="L24" s="22"/>
      <c r="M24" s="22">
        <v>5725.7</v>
      </c>
      <c r="N24" s="22"/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7277.799999999999</v>
      </c>
      <c r="AG24" s="27">
        <f t="shared" si="3"/>
        <v>13363.2</v>
      </c>
    </row>
    <row r="25" spans="1:34" s="70" customFormat="1" ht="15" customHeight="1">
      <c r="A25" s="65" t="s">
        <v>47</v>
      </c>
      <c r="B25" s="66">
        <v>14213.5</v>
      </c>
      <c r="C25" s="66">
        <v>1514.8</v>
      </c>
      <c r="D25" s="66">
        <v>565.7</v>
      </c>
      <c r="E25" s="66"/>
      <c r="F25" s="66"/>
      <c r="G25" s="66">
        <v>282.3</v>
      </c>
      <c r="H25" s="66">
        <v>110.6</v>
      </c>
      <c r="I25" s="66"/>
      <c r="J25" s="68"/>
      <c r="K25" s="66">
        <v>420</v>
      </c>
      <c r="L25" s="66"/>
      <c r="M25" s="66">
        <v>5725.7</v>
      </c>
      <c r="N25" s="66"/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7104.299999999999</v>
      </c>
      <c r="AG25" s="71">
        <f t="shared" si="3"/>
        <v>8624</v>
      </c>
      <c r="AH25" s="75"/>
    </row>
    <row r="26" spans="1:34" ht="15.75">
      <c r="A26" s="3" t="s">
        <v>5</v>
      </c>
      <c r="B26" s="22">
        <v>14852.1</v>
      </c>
      <c r="C26" s="22">
        <v>708.3000000000029</v>
      </c>
      <c r="D26" s="22"/>
      <c r="E26" s="22"/>
      <c r="F26" s="22"/>
      <c r="G26" s="22">
        <v>2.4</v>
      </c>
      <c r="H26" s="22"/>
      <c r="I26" s="22"/>
      <c r="J26" s="26"/>
      <c r="K26" s="22"/>
      <c r="L26" s="22"/>
      <c r="M26" s="22">
        <v>5725.7</v>
      </c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5728.099999999999</v>
      </c>
      <c r="AG26" s="27">
        <f t="shared" si="3"/>
        <v>9832.300000000003</v>
      </c>
      <c r="AH26" s="6"/>
    </row>
    <row r="27" spans="1:33" ht="15.75">
      <c r="A27" s="3" t="s">
        <v>3</v>
      </c>
      <c r="B27" s="22">
        <v>1038</v>
      </c>
      <c r="C27" s="22">
        <v>375.8</v>
      </c>
      <c r="D27" s="22">
        <v>100</v>
      </c>
      <c r="E27" s="22"/>
      <c r="F27" s="22"/>
      <c r="G27" s="22">
        <v>1.7</v>
      </c>
      <c r="H27" s="22">
        <v>148.4</v>
      </c>
      <c r="I27" s="22"/>
      <c r="J27" s="26"/>
      <c r="K27" s="22">
        <v>215.7</v>
      </c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465.8</v>
      </c>
      <c r="AG27" s="27">
        <f t="shared" si="3"/>
        <v>948</v>
      </c>
    </row>
    <row r="28" spans="1:33" ht="15.75">
      <c r="A28" s="3" t="s">
        <v>1</v>
      </c>
      <c r="B28" s="22">
        <v>284.3</v>
      </c>
      <c r="C28" s="22">
        <v>17.8</v>
      </c>
      <c r="D28" s="22"/>
      <c r="E28" s="22"/>
      <c r="F28" s="22"/>
      <c r="G28" s="22">
        <v>19.5</v>
      </c>
      <c r="H28" s="22">
        <v>2.9</v>
      </c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22.4</v>
      </c>
      <c r="AG28" s="27">
        <f t="shared" si="3"/>
        <v>279.70000000000005</v>
      </c>
    </row>
    <row r="29" spans="1:33" ht="15.75">
      <c r="A29" s="3" t="s">
        <v>2</v>
      </c>
      <c r="B29" s="22">
        <v>1887.9</v>
      </c>
      <c r="C29" s="22">
        <v>657.5</v>
      </c>
      <c r="D29" s="22">
        <v>465.7</v>
      </c>
      <c r="E29" s="22"/>
      <c r="F29" s="22"/>
      <c r="G29" s="22">
        <v>246.3</v>
      </c>
      <c r="H29" s="22">
        <v>3.9</v>
      </c>
      <c r="I29" s="22"/>
      <c r="J29" s="26"/>
      <c r="K29" s="22">
        <v>169.6</v>
      </c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885.5</v>
      </c>
      <c r="AG29" s="27">
        <f t="shared" si="3"/>
        <v>1659.9</v>
      </c>
    </row>
    <row r="30" spans="1:33" ht="15.75">
      <c r="A30" s="3" t="s">
        <v>17</v>
      </c>
      <c r="B30" s="22">
        <v>123.3</v>
      </c>
      <c r="C30" s="22">
        <v>24.5</v>
      </c>
      <c r="D30" s="22"/>
      <c r="E30" s="22"/>
      <c r="F30" s="22"/>
      <c r="G30" s="22">
        <v>2.4</v>
      </c>
      <c r="H30" s="22"/>
      <c r="I30" s="22"/>
      <c r="J30" s="26"/>
      <c r="K30" s="22">
        <v>2.5</v>
      </c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4.9</v>
      </c>
      <c r="AG30" s="27">
        <f t="shared" si="3"/>
        <v>142.9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401.1000000000001</v>
      </c>
      <c r="C32" s="22">
        <v>270.39999999999293</v>
      </c>
      <c r="D32" s="22">
        <f t="shared" si="5"/>
        <v>5.684341886080802E-14</v>
      </c>
      <c r="E32" s="22">
        <f t="shared" si="5"/>
        <v>0</v>
      </c>
      <c r="F32" s="22">
        <f t="shared" si="5"/>
        <v>0</v>
      </c>
      <c r="G32" s="22">
        <f t="shared" si="5"/>
        <v>10.000000000000034</v>
      </c>
      <c r="H32" s="22">
        <f t="shared" si="5"/>
        <v>40.3</v>
      </c>
      <c r="I32" s="22">
        <f t="shared" si="5"/>
        <v>0</v>
      </c>
      <c r="J32" s="22">
        <f t="shared" si="5"/>
        <v>0</v>
      </c>
      <c r="K32" s="22">
        <f t="shared" si="5"/>
        <v>120.80000000000004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171.10000000000014</v>
      </c>
      <c r="AG32" s="27">
        <f>AG24-AG26-AG27-AG28-AG29-AG30-AG31</f>
        <v>500.39999999999793</v>
      </c>
    </row>
    <row r="33" spans="1:33" ht="15" customHeight="1">
      <c r="A33" s="4" t="s">
        <v>8</v>
      </c>
      <c r="B33" s="22">
        <v>457.5</v>
      </c>
      <c r="C33" s="22">
        <v>336.4</v>
      </c>
      <c r="D33" s="22"/>
      <c r="E33" s="22"/>
      <c r="F33" s="22"/>
      <c r="G33" s="22"/>
      <c r="H33" s="22"/>
      <c r="I33" s="22"/>
      <c r="J33" s="26"/>
      <c r="K33" s="22"/>
      <c r="L33" s="22">
        <v>47.2</v>
      </c>
      <c r="M33" s="22"/>
      <c r="N33" s="22">
        <v>46</v>
      </c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93.2</v>
      </c>
      <c r="AG33" s="27">
        <f aca="true" t="shared" si="6" ref="AG33:AG38">B33+C33-AF33</f>
        <v>700.6999999999999</v>
      </c>
    </row>
    <row r="34" spans="1:33" ht="15.75">
      <c r="A34" s="3" t="s">
        <v>5</v>
      </c>
      <c r="B34" s="22">
        <v>141.2</v>
      </c>
      <c r="C34" s="22">
        <v>25.9</v>
      </c>
      <c r="D34" s="22"/>
      <c r="E34" s="22"/>
      <c r="F34" s="22"/>
      <c r="G34" s="22"/>
      <c r="H34" s="22"/>
      <c r="I34" s="22"/>
      <c r="J34" s="26"/>
      <c r="K34" s="22"/>
      <c r="L34" s="22">
        <v>47.2</v>
      </c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47.2</v>
      </c>
      <c r="AG34" s="27">
        <f t="shared" si="6"/>
        <v>119.89999999999999</v>
      </c>
    </row>
    <row r="35" spans="1:33" ht="15.75">
      <c r="A35" s="3" t="s">
        <v>1</v>
      </c>
      <c r="B35" s="22">
        <v>25</v>
      </c>
      <c r="C35" s="22">
        <v>25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50</v>
      </c>
    </row>
    <row r="36" spans="1:33" ht="15.75">
      <c r="A36" s="3" t="s">
        <v>2</v>
      </c>
      <c r="B36" s="44">
        <v>76.8</v>
      </c>
      <c r="C36" s="22">
        <v>6.5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45.7</v>
      </c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45.7</v>
      </c>
      <c r="AG36" s="27">
        <f t="shared" si="6"/>
        <v>37.599999999999994</v>
      </c>
    </row>
    <row r="37" spans="1:33" ht="15.75">
      <c r="A37" s="3" t="s">
        <v>17</v>
      </c>
      <c r="B37" s="22">
        <v>199.4</v>
      </c>
      <c r="C37" s="22">
        <v>263.7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463.1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15.099999999999994</v>
      </c>
      <c r="C39" s="22">
        <v>15.3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0.29999999999999716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0.29999999999999716</v>
      </c>
      <c r="AG39" s="27">
        <f>AG33-AG34-AG36-AG38-AG35-AG37</f>
        <v>30.09999999999991</v>
      </c>
    </row>
    <row r="40" spans="1:33" ht="15" customHeight="1">
      <c r="A40" s="4" t="s">
        <v>33</v>
      </c>
      <c r="B40" s="22">
        <v>627.6</v>
      </c>
      <c r="C40" s="22">
        <v>142.6</v>
      </c>
      <c r="D40" s="22"/>
      <c r="E40" s="22"/>
      <c r="F40" s="22"/>
      <c r="G40" s="22"/>
      <c r="H40" s="22"/>
      <c r="I40" s="22"/>
      <c r="J40" s="26">
        <v>14.4</v>
      </c>
      <c r="K40" s="22"/>
      <c r="L40" s="22">
        <v>236.4</v>
      </c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250.8</v>
      </c>
      <c r="AG40" s="27">
        <f aca="true" t="shared" si="8" ref="AG40:AG45">B40+C40-AF40</f>
        <v>519.4000000000001</v>
      </c>
    </row>
    <row r="41" spans="1:34" ht="15.75">
      <c r="A41" s="3" t="s">
        <v>5</v>
      </c>
      <c r="B41" s="22">
        <v>532.8</v>
      </c>
      <c r="C41" s="22">
        <v>56.8</v>
      </c>
      <c r="D41" s="22"/>
      <c r="E41" s="22"/>
      <c r="F41" s="22"/>
      <c r="G41" s="22"/>
      <c r="H41" s="22"/>
      <c r="I41" s="22"/>
      <c r="J41" s="26"/>
      <c r="K41" s="22"/>
      <c r="L41" s="22">
        <v>235.3</v>
      </c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235.3</v>
      </c>
      <c r="AG41" s="27">
        <f t="shared" si="8"/>
        <v>354.2999999999999</v>
      </c>
      <c r="AH41" s="6"/>
    </row>
    <row r="42" spans="1:33" ht="15.75">
      <c r="A42" s="3" t="s">
        <v>3</v>
      </c>
      <c r="B42" s="22"/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6.6</v>
      </c>
      <c r="C43" s="22">
        <v>2</v>
      </c>
      <c r="D43" s="22"/>
      <c r="E43" s="22"/>
      <c r="F43" s="22"/>
      <c r="G43" s="22"/>
      <c r="H43" s="22"/>
      <c r="I43" s="22"/>
      <c r="J43" s="26">
        <v>0.2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0.2</v>
      </c>
      <c r="AG43" s="27">
        <f t="shared" si="8"/>
        <v>8.4</v>
      </c>
    </row>
    <row r="44" spans="1:33" ht="15.75">
      <c r="A44" s="3" t="s">
        <v>2</v>
      </c>
      <c r="B44" s="22">
        <v>71.2</v>
      </c>
      <c r="C44" s="22">
        <v>71.1</v>
      </c>
      <c r="D44" s="22"/>
      <c r="E44" s="22"/>
      <c r="F44" s="22"/>
      <c r="G44" s="22"/>
      <c r="H44" s="22"/>
      <c r="I44" s="22"/>
      <c r="J44" s="26">
        <v>2.5</v>
      </c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2.5</v>
      </c>
      <c r="AG44" s="27">
        <f t="shared" si="8"/>
        <v>139.8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17.00000000000007</v>
      </c>
      <c r="C46" s="22">
        <v>12.700000000000074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11.700000000000001</v>
      </c>
      <c r="K46" s="22">
        <f t="shared" si="10"/>
        <v>0</v>
      </c>
      <c r="L46" s="22">
        <f t="shared" si="10"/>
        <v>1.0999999999999943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12.799999999999995</v>
      </c>
      <c r="AG46" s="27">
        <f>AG40-AG41-AG42-AG43-AG44-AG45</f>
        <v>16.900000000000176</v>
      </c>
    </row>
    <row r="47" spans="1:33" ht="17.25" customHeight="1">
      <c r="A47" s="4" t="s">
        <v>15</v>
      </c>
      <c r="B47" s="36">
        <v>917</v>
      </c>
      <c r="C47" s="22">
        <v>440.9</v>
      </c>
      <c r="D47" s="22"/>
      <c r="E47" s="28"/>
      <c r="F47" s="28">
        <v>2</v>
      </c>
      <c r="G47" s="28"/>
      <c r="H47" s="28"/>
      <c r="I47" s="28"/>
      <c r="J47" s="29"/>
      <c r="K47" s="28">
        <v>10.9</v>
      </c>
      <c r="L47" s="28">
        <v>26</v>
      </c>
      <c r="M47" s="28"/>
      <c r="N47" s="28">
        <v>40</v>
      </c>
      <c r="O47" s="31"/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78.9</v>
      </c>
      <c r="AG47" s="27">
        <f>B47+C47-AF47</f>
        <v>1279</v>
      </c>
    </row>
    <row r="48" spans="1:33" ht="15.75">
      <c r="A48" s="3" t="s">
        <v>5</v>
      </c>
      <c r="B48" s="22">
        <v>6.3</v>
      </c>
      <c r="C48" s="22">
        <v>6.2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12.5</v>
      </c>
    </row>
    <row r="49" spans="1:33" ht="15.75">
      <c r="A49" s="3" t="s">
        <v>17</v>
      </c>
      <c r="B49" s="22">
        <v>771.6</v>
      </c>
      <c r="C49" s="22">
        <v>327.8</v>
      </c>
      <c r="D49" s="22"/>
      <c r="E49" s="22"/>
      <c r="F49" s="22">
        <v>2</v>
      </c>
      <c r="G49" s="22"/>
      <c r="H49" s="22"/>
      <c r="I49" s="22"/>
      <c r="J49" s="26"/>
      <c r="K49" s="22"/>
      <c r="L49" s="22">
        <v>26</v>
      </c>
      <c r="M49" s="22"/>
      <c r="N49" s="22">
        <v>40</v>
      </c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68</v>
      </c>
      <c r="AG49" s="27">
        <f>B49+C49-AF49</f>
        <v>1031.4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139.10000000000002</v>
      </c>
      <c r="C51" s="22">
        <v>106.9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10.9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10.9</v>
      </c>
      <c r="AG51" s="27">
        <f>AG47-AG49-AG48</f>
        <v>235.0999999999999</v>
      </c>
    </row>
    <row r="52" spans="1:33" ht="15" customHeight="1">
      <c r="A52" s="4" t="s">
        <v>0</v>
      </c>
      <c r="B52" s="22">
        <v>5188.7</v>
      </c>
      <c r="C52" s="22">
        <v>918.9</v>
      </c>
      <c r="D52" s="22">
        <v>702.6</v>
      </c>
      <c r="E52" s="22">
        <v>368.5</v>
      </c>
      <c r="F52" s="22">
        <v>68.4</v>
      </c>
      <c r="G52" s="22">
        <v>157.9</v>
      </c>
      <c r="H52" s="22"/>
      <c r="I52" s="22">
        <v>4015.3</v>
      </c>
      <c r="J52" s="26"/>
      <c r="K52" s="22"/>
      <c r="L52" s="22">
        <v>212.6</v>
      </c>
      <c r="M52" s="22"/>
      <c r="N52" s="22"/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5525.300000000001</v>
      </c>
      <c r="AG52" s="27">
        <f aca="true" t="shared" si="12" ref="AG52:AG59">B52+C52-AF52</f>
        <v>582.2999999999984</v>
      </c>
    </row>
    <row r="53" spans="1:33" ht="15" customHeight="1">
      <c r="A53" s="3" t="s">
        <v>2</v>
      </c>
      <c r="B53" s="22">
        <v>430</v>
      </c>
      <c r="C53" s="22">
        <v>372.7</v>
      </c>
      <c r="D53" s="22"/>
      <c r="E53" s="22">
        <v>368.5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368.5</v>
      </c>
      <c r="AG53" s="27">
        <f t="shared" si="12"/>
        <v>434.20000000000005</v>
      </c>
    </row>
    <row r="54" spans="1:34" ht="15" customHeight="1">
      <c r="A54" s="4" t="s">
        <v>9</v>
      </c>
      <c r="B54" s="44">
        <v>3776.8</v>
      </c>
      <c r="C54" s="22">
        <v>648.6</v>
      </c>
      <c r="D54" s="22"/>
      <c r="E54" s="22">
        <v>525.1</v>
      </c>
      <c r="F54" s="22"/>
      <c r="G54" s="22">
        <v>62.5</v>
      </c>
      <c r="H54" s="22">
        <v>112</v>
      </c>
      <c r="I54" s="22">
        <v>1.7</v>
      </c>
      <c r="J54" s="26"/>
      <c r="K54" s="22">
        <v>1386</v>
      </c>
      <c r="L54" s="22">
        <v>0.2</v>
      </c>
      <c r="M54" s="22">
        <v>29.8</v>
      </c>
      <c r="N54" s="22">
        <v>71.3</v>
      </c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2188.6000000000004</v>
      </c>
      <c r="AG54" s="22">
        <f t="shared" si="12"/>
        <v>2236.8</v>
      </c>
      <c r="AH54" s="6"/>
    </row>
    <row r="55" spans="1:34" ht="15.75">
      <c r="A55" s="3" t="s">
        <v>5</v>
      </c>
      <c r="B55" s="22">
        <v>2682.5</v>
      </c>
      <c r="C55" s="22">
        <v>166.7</v>
      </c>
      <c r="D55" s="22"/>
      <c r="E55" s="22"/>
      <c r="F55" s="22"/>
      <c r="G55" s="22"/>
      <c r="H55" s="22"/>
      <c r="I55" s="22"/>
      <c r="J55" s="26"/>
      <c r="K55" s="22">
        <v>1354.9</v>
      </c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1354.9</v>
      </c>
      <c r="AG55" s="22">
        <f t="shared" si="12"/>
        <v>1494.2999999999997</v>
      </c>
      <c r="AH55" s="6"/>
    </row>
    <row r="56" spans="1:34" ht="15" customHeight="1" hidden="1">
      <c r="A56" s="3" t="s">
        <v>1</v>
      </c>
      <c r="B56" s="22"/>
      <c r="C56" s="22">
        <v>0</v>
      </c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278.6</v>
      </c>
      <c r="C57" s="22">
        <v>181.7</v>
      </c>
      <c r="D57" s="22"/>
      <c r="E57" s="22"/>
      <c r="F57" s="22"/>
      <c r="G57" s="22">
        <v>61.2</v>
      </c>
      <c r="H57" s="22">
        <v>112</v>
      </c>
      <c r="I57" s="22">
        <v>1.1</v>
      </c>
      <c r="J57" s="26"/>
      <c r="K57" s="22">
        <v>10.5</v>
      </c>
      <c r="L57" s="22"/>
      <c r="M57" s="22">
        <v>29.3</v>
      </c>
      <c r="N57" s="22">
        <v>0.6</v>
      </c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214.7</v>
      </c>
      <c r="AG57" s="22">
        <f t="shared" si="12"/>
        <v>245.60000000000002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810.6000000000001</v>
      </c>
      <c r="C60" s="22">
        <v>300.2</v>
      </c>
      <c r="D60" s="22">
        <f t="shared" si="13"/>
        <v>0</v>
      </c>
      <c r="E60" s="22">
        <f t="shared" si="13"/>
        <v>525.1</v>
      </c>
      <c r="F60" s="22">
        <f t="shared" si="13"/>
        <v>0</v>
      </c>
      <c r="G60" s="22">
        <f t="shared" si="13"/>
        <v>1.2999999999999972</v>
      </c>
      <c r="H60" s="22">
        <f t="shared" si="13"/>
        <v>0</v>
      </c>
      <c r="I60" s="22">
        <f t="shared" si="13"/>
        <v>0.5999999999999999</v>
      </c>
      <c r="J60" s="22">
        <f t="shared" si="13"/>
        <v>0</v>
      </c>
      <c r="K60" s="22">
        <f t="shared" si="13"/>
        <v>20.59999999999991</v>
      </c>
      <c r="L60" s="22">
        <f t="shared" si="13"/>
        <v>0.2</v>
      </c>
      <c r="M60" s="22">
        <f t="shared" si="13"/>
        <v>0.5</v>
      </c>
      <c r="N60" s="22">
        <f t="shared" si="13"/>
        <v>70.7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619.0000000000002</v>
      </c>
      <c r="AG60" s="22">
        <f>AG54-AG55-AG57-AG59-AG56-AG58</f>
        <v>491.8000000000004</v>
      </c>
    </row>
    <row r="61" spans="1:33" ht="15" customHeight="1">
      <c r="A61" s="4" t="s">
        <v>10</v>
      </c>
      <c r="B61" s="22">
        <v>64</v>
      </c>
      <c r="C61" s="22">
        <v>64</v>
      </c>
      <c r="D61" s="22"/>
      <c r="E61" s="22"/>
      <c r="F61" s="22"/>
      <c r="G61" s="22"/>
      <c r="H61" s="22"/>
      <c r="I61" s="22"/>
      <c r="J61" s="26"/>
      <c r="K61" s="22"/>
      <c r="L61" s="22"/>
      <c r="M61" s="22">
        <v>22.2</v>
      </c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22.2</v>
      </c>
      <c r="AG61" s="22">
        <f aca="true" t="shared" si="15" ref="AG61:AG67">B61+C61-AF61</f>
        <v>105.8</v>
      </c>
    </row>
    <row r="62" spans="1:33" ht="15" customHeight="1">
      <c r="A62" s="4" t="s">
        <v>11</v>
      </c>
      <c r="B62" s="22">
        <v>1266.4</v>
      </c>
      <c r="C62" s="22">
        <v>331.8</v>
      </c>
      <c r="D62" s="22"/>
      <c r="E62" s="22"/>
      <c r="F62" s="22"/>
      <c r="G62" s="22"/>
      <c r="H62" s="22"/>
      <c r="I62" s="22"/>
      <c r="J62" s="26"/>
      <c r="K62" s="22">
        <v>16.5</v>
      </c>
      <c r="L62" s="22">
        <v>359.8</v>
      </c>
      <c r="M62" s="22">
        <v>101.4</v>
      </c>
      <c r="N62" s="22"/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477.70000000000005</v>
      </c>
      <c r="AG62" s="22">
        <f t="shared" si="15"/>
        <v>1120.5</v>
      </c>
    </row>
    <row r="63" spans="1:34" ht="15.75">
      <c r="A63" s="3" t="s">
        <v>5</v>
      </c>
      <c r="B63" s="22">
        <v>898.2</v>
      </c>
      <c r="C63" s="22">
        <v>157.5</v>
      </c>
      <c r="D63" s="22"/>
      <c r="E63" s="22"/>
      <c r="F63" s="22"/>
      <c r="G63" s="22"/>
      <c r="H63" s="22"/>
      <c r="I63" s="22"/>
      <c r="J63" s="26"/>
      <c r="K63" s="22"/>
      <c r="L63" s="22">
        <v>298.5</v>
      </c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298.5</v>
      </c>
      <c r="AG63" s="22">
        <f t="shared" si="15"/>
        <v>757.2</v>
      </c>
      <c r="AH63" s="64"/>
    </row>
    <row r="64" spans="1:34" ht="15.75" hidden="1">
      <c r="A64" s="3" t="s">
        <v>3</v>
      </c>
      <c r="B64" s="22"/>
      <c r="C64" s="22">
        <v>0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16.1</v>
      </c>
      <c r="C65" s="22">
        <v>14.2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30.3</v>
      </c>
      <c r="AH65" s="6"/>
    </row>
    <row r="66" spans="1:33" ht="15.75">
      <c r="A66" s="3" t="s">
        <v>2</v>
      </c>
      <c r="B66" s="22">
        <v>83.7</v>
      </c>
      <c r="C66" s="22">
        <v>25.2</v>
      </c>
      <c r="D66" s="22"/>
      <c r="E66" s="22"/>
      <c r="F66" s="22"/>
      <c r="G66" s="22"/>
      <c r="H66" s="22"/>
      <c r="I66" s="22"/>
      <c r="J66" s="26"/>
      <c r="K66" s="22">
        <v>7.6</v>
      </c>
      <c r="L66" s="22"/>
      <c r="M66" s="22">
        <v>85.1</v>
      </c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92.69999999999999</v>
      </c>
      <c r="AG66" s="22">
        <f t="shared" si="15"/>
        <v>16.200000000000017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268.40000000000003</v>
      </c>
      <c r="C68" s="22">
        <v>134.9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8.9</v>
      </c>
      <c r="L68" s="22">
        <f t="shared" si="16"/>
        <v>61.30000000000001</v>
      </c>
      <c r="M68" s="22">
        <f t="shared" si="16"/>
        <v>16.30000000000001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86.50000000000003</v>
      </c>
      <c r="AG68" s="22">
        <f>AG62-AG63-AG66-AG67-AG65-AG64</f>
        <v>316.7999999999999</v>
      </c>
    </row>
    <row r="69" spans="1:33" ht="31.5">
      <c r="A69" s="4" t="s">
        <v>32</v>
      </c>
      <c r="B69" s="22">
        <v>244.5</v>
      </c>
      <c r="C69" s="22">
        <v>244.5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489</v>
      </c>
    </row>
    <row r="70" spans="1:33" ht="15.75" hidden="1">
      <c r="A70" s="4" t="s">
        <v>37</v>
      </c>
      <c r="B70" s="22"/>
      <c r="C70" s="22">
        <v>0</v>
      </c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541.8</v>
      </c>
      <c r="C72" s="22">
        <v>434.8</v>
      </c>
      <c r="D72" s="22"/>
      <c r="E72" s="22"/>
      <c r="F72" s="22">
        <v>187.5</v>
      </c>
      <c r="G72" s="22">
        <v>0.8</v>
      </c>
      <c r="H72" s="22"/>
      <c r="I72" s="22"/>
      <c r="J72" s="26"/>
      <c r="K72" s="22">
        <v>20.2</v>
      </c>
      <c r="L72" s="22">
        <v>0.9</v>
      </c>
      <c r="M72" s="22"/>
      <c r="N72" s="22"/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209.4</v>
      </c>
      <c r="AG72" s="30">
        <f t="shared" si="17"/>
        <v>767.1999999999999</v>
      </c>
    </row>
    <row r="73" spans="1:33" ht="15" customHeight="1">
      <c r="A73" s="3" t="s">
        <v>5</v>
      </c>
      <c r="B73" s="22">
        <v>18.6</v>
      </c>
      <c r="C73" s="22">
        <v>1.8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20.400000000000002</v>
      </c>
    </row>
    <row r="74" spans="1:33" ht="15" customHeight="1">
      <c r="A74" s="3" t="s">
        <v>2</v>
      </c>
      <c r="B74" s="22">
        <v>128.1</v>
      </c>
      <c r="C74" s="22">
        <v>137.2</v>
      </c>
      <c r="D74" s="22"/>
      <c r="E74" s="22"/>
      <c r="F74" s="22">
        <v>142.7</v>
      </c>
      <c r="G74" s="22"/>
      <c r="H74" s="22"/>
      <c r="I74" s="22"/>
      <c r="J74" s="26"/>
      <c r="K74" s="22"/>
      <c r="L74" s="22">
        <v>0.9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143.6</v>
      </c>
      <c r="AG74" s="30">
        <f t="shared" si="17"/>
        <v>121.69999999999996</v>
      </c>
    </row>
    <row r="75" spans="1:33" ht="15" customHeight="1">
      <c r="A75" s="3" t="s">
        <v>17</v>
      </c>
      <c r="B75" s="22">
        <v>2.7</v>
      </c>
      <c r="C75" s="22">
        <v>0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2.7</v>
      </c>
    </row>
    <row r="76" spans="1:33" s="11" customFormat="1" ht="31.5">
      <c r="A76" s="12" t="s">
        <v>21</v>
      </c>
      <c r="B76" s="22">
        <v>177.9</v>
      </c>
      <c r="C76" s="22">
        <v>109.1</v>
      </c>
      <c r="D76" s="22"/>
      <c r="E76" s="28"/>
      <c r="F76" s="28"/>
      <c r="G76" s="28"/>
      <c r="H76" s="28"/>
      <c r="I76" s="28"/>
      <c r="J76" s="29"/>
      <c r="K76" s="28"/>
      <c r="L76" s="28">
        <v>30.1</v>
      </c>
      <c r="M76" s="28"/>
      <c r="N76" s="28">
        <v>3.6</v>
      </c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33.7</v>
      </c>
      <c r="AG76" s="30">
        <f t="shared" si="17"/>
        <v>253.3</v>
      </c>
    </row>
    <row r="77" spans="1:33" s="11" customFormat="1" ht="15.75">
      <c r="A77" s="3" t="s">
        <v>5</v>
      </c>
      <c r="B77" s="22">
        <v>74.6</v>
      </c>
      <c r="C77" s="22">
        <v>8.3</v>
      </c>
      <c r="D77" s="22"/>
      <c r="E77" s="28"/>
      <c r="F77" s="28"/>
      <c r="G77" s="28"/>
      <c r="H77" s="28"/>
      <c r="I77" s="28"/>
      <c r="J77" s="29"/>
      <c r="K77" s="28"/>
      <c r="L77" s="28">
        <v>30.1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30.1</v>
      </c>
      <c r="AG77" s="30">
        <f t="shared" si="17"/>
        <v>52.79999999999999</v>
      </c>
    </row>
    <row r="78" spans="1:33" s="11" customFormat="1" ht="15.75" hidden="1">
      <c r="A78" s="3" t="s">
        <v>3</v>
      </c>
      <c r="B78" s="22"/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>
        <v>0</v>
      </c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8.5</v>
      </c>
      <c r="C80" s="22">
        <v>9.5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18</v>
      </c>
    </row>
    <row r="81" spans="1:33" s="11" customFormat="1" ht="15.75">
      <c r="A81" s="12" t="s">
        <v>36</v>
      </c>
      <c r="B81" s="22">
        <v>2094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2094</v>
      </c>
    </row>
    <row r="82" spans="1:33" s="11" customFormat="1" ht="15.75" hidden="1">
      <c r="A82" s="12" t="s">
        <v>50</v>
      </c>
      <c r="B82" s="22"/>
      <c r="C82" s="28">
        <v>0</v>
      </c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>
        <v>0</v>
      </c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>
        <v>0</v>
      </c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>
        <v>0</v>
      </c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>
        <v>0</v>
      </c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>
        <v>428.6</v>
      </c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857.2</v>
      </c>
      <c r="AH88" s="11"/>
    </row>
    <row r="89" spans="1:34" ht="15.75">
      <c r="A89" s="4" t="s">
        <v>45</v>
      </c>
      <c r="B89" s="22">
        <v>1245.9</v>
      </c>
      <c r="C89" s="22">
        <v>1133</v>
      </c>
      <c r="D89" s="22"/>
      <c r="E89" s="22"/>
      <c r="F89" s="22"/>
      <c r="G89" s="22"/>
      <c r="H89" s="22"/>
      <c r="I89" s="22"/>
      <c r="J89" s="22"/>
      <c r="K89" s="22"/>
      <c r="L89" s="22"/>
      <c r="M89" s="22">
        <v>55.6</v>
      </c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55.6</v>
      </c>
      <c r="AG89" s="22">
        <f t="shared" si="17"/>
        <v>2323.3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0</v>
      </c>
      <c r="AG90" s="22">
        <f t="shared" si="17"/>
        <v>2416.8</v>
      </c>
      <c r="AH90" s="11"/>
    </row>
    <row r="91" spans="1:34" ht="15.75">
      <c r="A91" s="4" t="s">
        <v>28</v>
      </c>
      <c r="B91" s="22">
        <v>40.9</v>
      </c>
      <c r="C91" s="22">
        <v>40.8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81.69999999999999</v>
      </c>
      <c r="AH91" s="11"/>
    </row>
    <row r="92" spans="1:34" ht="15.75" hidden="1">
      <c r="A92" s="4" t="s">
        <v>44</v>
      </c>
      <c r="B92" s="22"/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71232.6</v>
      </c>
      <c r="C94" s="42">
        <v>15249.8</v>
      </c>
      <c r="D94" s="42">
        <f t="shared" si="18"/>
        <v>1386.1</v>
      </c>
      <c r="E94" s="42">
        <f t="shared" si="18"/>
        <v>1016.6</v>
      </c>
      <c r="F94" s="42">
        <f t="shared" si="18"/>
        <v>3263.6</v>
      </c>
      <c r="G94" s="42">
        <f t="shared" si="18"/>
        <v>627.4</v>
      </c>
      <c r="H94" s="42">
        <f t="shared" si="18"/>
        <v>307.8</v>
      </c>
      <c r="I94" s="42">
        <f t="shared" si="18"/>
        <v>4017.1</v>
      </c>
      <c r="J94" s="42">
        <f t="shared" si="18"/>
        <v>79.4</v>
      </c>
      <c r="K94" s="42">
        <f t="shared" si="18"/>
        <v>2327</v>
      </c>
      <c r="L94" s="42">
        <f t="shared" si="18"/>
        <v>5489.7</v>
      </c>
      <c r="M94" s="42">
        <f t="shared" si="18"/>
        <v>12977.099999999999</v>
      </c>
      <c r="N94" s="42">
        <f t="shared" si="18"/>
        <v>183.79999999999998</v>
      </c>
      <c r="O94" s="42">
        <f t="shared" si="18"/>
        <v>0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31675.6</v>
      </c>
      <c r="AG94" s="58">
        <f>AG10+AG15+AG24+AG33+AG47+AG52+AG54+AG61+AG62+AG69+AG71+AG72+AG76+AG81+AG82+AG83+AG88+AG89+AG90+AG91+AG70+AG40+AG92</f>
        <v>54806.8</v>
      </c>
    </row>
    <row r="95" spans="1:33" ht="15.75">
      <c r="A95" s="3" t="s">
        <v>5</v>
      </c>
      <c r="B95" s="22">
        <f aca="true" t="shared" si="19" ref="B95:AD95">B11+B17+B26+B34+B55+B63+B73+B41+B77+B48</f>
        <v>38139.899999999994</v>
      </c>
      <c r="C95" s="22">
        <v>3456.9000000000087</v>
      </c>
      <c r="D95" s="22">
        <f t="shared" si="19"/>
        <v>0</v>
      </c>
      <c r="E95" s="22">
        <f t="shared" si="19"/>
        <v>56.2</v>
      </c>
      <c r="F95" s="22">
        <f t="shared" si="19"/>
        <v>0</v>
      </c>
      <c r="G95" s="22">
        <f t="shared" si="19"/>
        <v>69.80000000000001</v>
      </c>
      <c r="H95" s="22">
        <f t="shared" si="19"/>
        <v>0</v>
      </c>
      <c r="I95" s="22">
        <f t="shared" si="19"/>
        <v>0</v>
      </c>
      <c r="J95" s="22">
        <f t="shared" si="19"/>
        <v>61.4</v>
      </c>
      <c r="K95" s="22">
        <f t="shared" si="19"/>
        <v>1730.4</v>
      </c>
      <c r="L95" s="22">
        <f t="shared" si="19"/>
        <v>5146.200000000001</v>
      </c>
      <c r="M95" s="22">
        <f t="shared" si="19"/>
        <v>11522.8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18586.8</v>
      </c>
      <c r="AG95" s="27">
        <f>B95+C95-AF95</f>
        <v>23010.000000000004</v>
      </c>
    </row>
    <row r="96" spans="1:33" ht="15.75">
      <c r="A96" s="3" t="s">
        <v>2</v>
      </c>
      <c r="B96" s="22">
        <f aca="true" t="shared" si="20" ref="B96:AD96">B12+B20+B29+B36+B57+B66+B44+B80+B74+B53</f>
        <v>15253.500000000002</v>
      </c>
      <c r="C96" s="22">
        <v>5937.9</v>
      </c>
      <c r="D96" s="22">
        <f t="shared" si="20"/>
        <v>467.59999999999997</v>
      </c>
      <c r="E96" s="22">
        <f t="shared" si="20"/>
        <v>432.3</v>
      </c>
      <c r="F96" s="22">
        <f t="shared" si="20"/>
        <v>2942.5</v>
      </c>
      <c r="G96" s="22">
        <f t="shared" si="20"/>
        <v>308.8</v>
      </c>
      <c r="H96" s="22">
        <f t="shared" si="20"/>
        <v>115.9</v>
      </c>
      <c r="I96" s="22">
        <f t="shared" si="20"/>
        <v>1.1</v>
      </c>
      <c r="J96" s="22">
        <f t="shared" si="20"/>
        <v>2.5</v>
      </c>
      <c r="K96" s="22">
        <f t="shared" si="20"/>
        <v>187.7</v>
      </c>
      <c r="L96" s="22">
        <f t="shared" si="20"/>
        <v>14.8</v>
      </c>
      <c r="M96" s="22">
        <f t="shared" si="20"/>
        <v>1284.4999999999998</v>
      </c>
      <c r="N96" s="22">
        <f t="shared" si="20"/>
        <v>47.1</v>
      </c>
      <c r="O96" s="22">
        <f t="shared" si="20"/>
        <v>0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5804.8</v>
      </c>
      <c r="AG96" s="27">
        <f>B96+C96-AF96</f>
        <v>15386.600000000002</v>
      </c>
    </row>
    <row r="97" spans="1:33" ht="15.75">
      <c r="A97" s="3" t="s">
        <v>3</v>
      </c>
      <c r="B97" s="22">
        <f aca="true" t="shared" si="21" ref="B97:AA97">B18+B27+B42+B64+B78</f>
        <v>1039</v>
      </c>
      <c r="C97" s="22">
        <v>375.8</v>
      </c>
      <c r="D97" s="22">
        <f t="shared" si="21"/>
        <v>100</v>
      </c>
      <c r="E97" s="22">
        <f t="shared" si="21"/>
        <v>0</v>
      </c>
      <c r="F97" s="22">
        <f t="shared" si="21"/>
        <v>0</v>
      </c>
      <c r="G97" s="22">
        <f t="shared" si="21"/>
        <v>1.7</v>
      </c>
      <c r="H97" s="22">
        <f t="shared" si="21"/>
        <v>148.4</v>
      </c>
      <c r="I97" s="22">
        <f t="shared" si="21"/>
        <v>0</v>
      </c>
      <c r="J97" s="22">
        <f t="shared" si="21"/>
        <v>0</v>
      </c>
      <c r="K97" s="22">
        <f t="shared" si="21"/>
        <v>215.7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465.8</v>
      </c>
      <c r="AG97" s="27">
        <f>B97+C97-AF97</f>
        <v>949</v>
      </c>
    </row>
    <row r="98" spans="1:33" ht="15.75">
      <c r="A98" s="3" t="s">
        <v>1</v>
      </c>
      <c r="B98" s="22">
        <f aca="true" t="shared" si="22" ref="B98:AD98">B19+B28+B65+B35+B43+B56+B79</f>
        <v>1731.2999999999997</v>
      </c>
      <c r="C98" s="22">
        <v>740.9</v>
      </c>
      <c r="D98" s="22">
        <f t="shared" si="22"/>
        <v>115.9</v>
      </c>
      <c r="E98" s="22">
        <f t="shared" si="22"/>
        <v>0</v>
      </c>
      <c r="F98" s="22">
        <f t="shared" si="22"/>
        <v>196.4</v>
      </c>
      <c r="G98" s="22">
        <f t="shared" si="22"/>
        <v>71.6</v>
      </c>
      <c r="H98" s="22">
        <f t="shared" si="22"/>
        <v>2.9</v>
      </c>
      <c r="I98" s="22">
        <f t="shared" si="22"/>
        <v>0</v>
      </c>
      <c r="J98" s="22">
        <f t="shared" si="22"/>
        <v>0.2</v>
      </c>
      <c r="K98" s="22">
        <f t="shared" si="22"/>
        <v>0</v>
      </c>
      <c r="L98" s="22">
        <f t="shared" si="22"/>
        <v>0</v>
      </c>
      <c r="M98" s="22">
        <f t="shared" si="22"/>
        <v>68.7</v>
      </c>
      <c r="N98" s="22">
        <f t="shared" si="22"/>
        <v>0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455.69999999999993</v>
      </c>
      <c r="AG98" s="27">
        <f>B98+C98-AF98</f>
        <v>2016.5</v>
      </c>
    </row>
    <row r="99" spans="1:33" ht="15.75">
      <c r="A99" s="3" t="s">
        <v>17</v>
      </c>
      <c r="B99" s="22">
        <f aca="true" t="shared" si="23" ref="B99:AD99">B21+B30+B49+B37+B58+B13+B75</f>
        <v>1112.5</v>
      </c>
      <c r="C99" s="22">
        <v>627.1</v>
      </c>
      <c r="D99" s="22">
        <f t="shared" si="23"/>
        <v>0</v>
      </c>
      <c r="E99" s="22">
        <f t="shared" si="23"/>
        <v>0</v>
      </c>
      <c r="F99" s="22">
        <f t="shared" si="23"/>
        <v>2</v>
      </c>
      <c r="G99" s="22">
        <f t="shared" si="23"/>
        <v>2.4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2.5</v>
      </c>
      <c r="L99" s="22">
        <f t="shared" si="23"/>
        <v>38.7</v>
      </c>
      <c r="M99" s="22">
        <f t="shared" si="23"/>
        <v>3.8</v>
      </c>
      <c r="N99" s="22">
        <f t="shared" si="23"/>
        <v>40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89.4</v>
      </c>
      <c r="AG99" s="27">
        <f>B99+C99-AF99</f>
        <v>1650.1999999999998</v>
      </c>
    </row>
    <row r="100" spans="1:33" ht="12.75">
      <c r="A100" s="1" t="s">
        <v>41</v>
      </c>
      <c r="B100" s="2">
        <f aca="true" t="shared" si="24" ref="B100:U100">B94-B95-B96-B97-B98-B99</f>
        <v>13956.400000000012</v>
      </c>
      <c r="C100" s="2">
        <f t="shared" si="24"/>
        <v>4111.199999999991</v>
      </c>
      <c r="D100" s="2">
        <f t="shared" si="24"/>
        <v>702.6</v>
      </c>
      <c r="E100" s="2">
        <f t="shared" si="24"/>
        <v>528.0999999999999</v>
      </c>
      <c r="F100" s="2">
        <f t="shared" si="24"/>
        <v>122.6999999999999</v>
      </c>
      <c r="G100" s="2">
        <f t="shared" si="24"/>
        <v>173.0999999999999</v>
      </c>
      <c r="H100" s="2">
        <f t="shared" si="24"/>
        <v>40.6</v>
      </c>
      <c r="I100" s="2">
        <f t="shared" si="24"/>
        <v>4016</v>
      </c>
      <c r="J100" s="2">
        <f t="shared" si="24"/>
        <v>15.300000000000008</v>
      </c>
      <c r="K100" s="2">
        <f t="shared" si="24"/>
        <v>190.69999999999993</v>
      </c>
      <c r="L100" s="2">
        <f t="shared" si="24"/>
        <v>289.9999999999991</v>
      </c>
      <c r="M100" s="2">
        <f t="shared" si="24"/>
        <v>97.2999999999995</v>
      </c>
      <c r="N100" s="2">
        <f t="shared" si="24"/>
        <v>96.69999999999999</v>
      </c>
      <c r="O100" s="2">
        <f t="shared" si="24"/>
        <v>0</v>
      </c>
      <c r="P100" s="2">
        <f t="shared" si="24"/>
        <v>0</v>
      </c>
      <c r="Q100" s="2">
        <f t="shared" si="24"/>
        <v>0</v>
      </c>
      <c r="R100" s="2">
        <f t="shared" si="24"/>
        <v>0</v>
      </c>
      <c r="S100" s="2">
        <f t="shared" si="24"/>
        <v>0</v>
      </c>
      <c r="T100" s="2">
        <f t="shared" si="24"/>
        <v>0</v>
      </c>
      <c r="U100" s="2">
        <f t="shared" si="24"/>
        <v>0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6273.099999999999</v>
      </c>
      <c r="AG100" s="2">
        <f>AG94-AG95-AG96-AG97-AG98-AG99</f>
        <v>11794.499999999996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P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O9" sqref="O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110.25">
      <c r="A4" s="41" t="s">
        <v>29</v>
      </c>
      <c r="B4" s="9" t="s">
        <v>55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7269.4</v>
      </c>
      <c r="D7" s="45"/>
      <c r="E7" s="46">
        <v>14369.6</v>
      </c>
      <c r="F7" s="46"/>
      <c r="G7" s="46"/>
      <c r="H7" s="74"/>
      <c r="I7" s="46"/>
      <c r="J7" s="47"/>
      <c r="K7" s="46"/>
      <c r="L7" s="46"/>
      <c r="M7" s="46">
        <v>14369.5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7544.1</v>
      </c>
      <c r="AF7" s="72"/>
      <c r="AG7" s="48"/>
    </row>
    <row r="8" spans="1:55" ht="18" customHeight="1">
      <c r="A8" s="60" t="s">
        <v>34</v>
      </c>
      <c r="B8" s="40">
        <f>SUM(D8:AB8)</f>
        <v>77950</v>
      </c>
      <c r="C8" s="40">
        <v>161156.1</v>
      </c>
      <c r="D8" s="43">
        <f>8703.4-20.1</f>
        <v>8683.3</v>
      </c>
      <c r="E8" s="55">
        <v>2328.1</v>
      </c>
      <c r="F8" s="55">
        <v>1007.3</v>
      </c>
      <c r="G8" s="55">
        <v>2450.7</v>
      </c>
      <c r="H8" s="55">
        <v>3468.5</v>
      </c>
      <c r="I8" s="55">
        <v>6516.4</v>
      </c>
      <c r="J8" s="56">
        <v>2415.3</v>
      </c>
      <c r="K8" s="55">
        <v>2918.3</v>
      </c>
      <c r="L8" s="55">
        <v>2612.3</v>
      </c>
      <c r="M8" s="55">
        <v>2465.9</v>
      </c>
      <c r="N8" s="55">
        <v>3037.5</v>
      </c>
      <c r="O8" s="55">
        <v>4763.4</v>
      </c>
      <c r="P8" s="55">
        <v>3118.5</v>
      </c>
      <c r="Q8" s="55">
        <v>4391.9</v>
      </c>
      <c r="R8" s="55">
        <v>4515.8</v>
      </c>
      <c r="S8" s="57">
        <v>5144</v>
      </c>
      <c r="T8" s="57">
        <v>3174.5</v>
      </c>
      <c r="U8" s="55">
        <v>3480.6</v>
      </c>
      <c r="V8" s="55">
        <v>1664.6</v>
      </c>
      <c r="W8" s="55">
        <v>3536.9</v>
      </c>
      <c r="X8" s="56">
        <v>6256.2</v>
      </c>
      <c r="Y8" s="56"/>
      <c r="Z8" s="56"/>
      <c r="AA8" s="56"/>
      <c r="AB8" s="55"/>
      <c r="AC8" s="23"/>
      <c r="AD8" s="23"/>
      <c r="AE8" s="61">
        <f>156092.8-805.6</f>
        <v>155287.19999999998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136437.9</v>
      </c>
      <c r="C9" s="24">
        <f t="shared" si="0"/>
        <v>0</v>
      </c>
      <c r="D9" s="24">
        <f t="shared" si="0"/>
        <v>1386.1</v>
      </c>
      <c r="E9" s="24">
        <f t="shared" si="0"/>
        <v>1016.6</v>
      </c>
      <c r="F9" s="24">
        <f t="shared" si="0"/>
        <v>3263.6</v>
      </c>
      <c r="G9" s="24">
        <f t="shared" si="0"/>
        <v>627.4</v>
      </c>
      <c r="H9" s="24">
        <f t="shared" si="0"/>
        <v>307.8</v>
      </c>
      <c r="I9" s="24">
        <f t="shared" si="0"/>
        <v>4017.1</v>
      </c>
      <c r="J9" s="24">
        <f t="shared" si="0"/>
        <v>79.4</v>
      </c>
      <c r="K9" s="24">
        <f t="shared" si="0"/>
        <v>3132.6</v>
      </c>
      <c r="L9" s="24">
        <f t="shared" si="0"/>
        <v>5489.7</v>
      </c>
      <c r="M9" s="24">
        <f t="shared" si="0"/>
        <v>12977.099999999999</v>
      </c>
      <c r="N9" s="24">
        <f t="shared" si="0"/>
        <v>183.79999999999998</v>
      </c>
      <c r="O9" s="24">
        <f t="shared" si="0"/>
        <v>28667.100000000002</v>
      </c>
      <c r="P9" s="24">
        <f t="shared" si="0"/>
        <v>3514.6</v>
      </c>
      <c r="Q9" s="24">
        <f t="shared" si="0"/>
        <v>8499.9</v>
      </c>
      <c r="R9" s="24">
        <f t="shared" si="0"/>
        <v>1901.5</v>
      </c>
      <c r="S9" s="24">
        <f t="shared" si="0"/>
        <v>4202.900000000001</v>
      </c>
      <c r="T9" s="24">
        <f t="shared" si="0"/>
        <v>10309.3</v>
      </c>
      <c r="U9" s="24">
        <f t="shared" si="0"/>
        <v>4934.9</v>
      </c>
      <c r="V9" s="24">
        <f t="shared" si="0"/>
        <v>13729.1</v>
      </c>
      <c r="W9" s="24">
        <f t="shared" si="0"/>
        <v>2813.8</v>
      </c>
      <c r="X9" s="24">
        <f t="shared" si="0"/>
        <v>1229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112283.29999999999</v>
      </c>
      <c r="AG9" s="50">
        <f>AG10+AG15+AG24+AG33+AG47+AG52+AG54+AG61+AG62+AG71+AG72+AG76+AG88+AG81+AG83+AG82+AG69+AG89+AG91+AG90+AG70+AG40+AG92</f>
        <v>24154.599999999995</v>
      </c>
      <c r="AH9" s="49"/>
      <c r="AI9" s="49"/>
    </row>
    <row r="10" spans="1:33" ht="15.75">
      <c r="A10" s="4" t="s">
        <v>4</v>
      </c>
      <c r="B10" s="22">
        <v>5546.1</v>
      </c>
      <c r="C10" s="22"/>
      <c r="D10" s="22"/>
      <c r="E10" s="22">
        <v>59.2</v>
      </c>
      <c r="F10" s="22">
        <v>17.1</v>
      </c>
      <c r="G10" s="22">
        <v>69.2</v>
      </c>
      <c r="H10" s="22">
        <v>0.3</v>
      </c>
      <c r="I10" s="22">
        <v>0.1</v>
      </c>
      <c r="J10" s="25">
        <v>65</v>
      </c>
      <c r="K10" s="22">
        <v>384.8</v>
      </c>
      <c r="L10" s="22">
        <v>526.3</v>
      </c>
      <c r="M10" s="22">
        <v>246.2</v>
      </c>
      <c r="N10" s="22">
        <v>20.6</v>
      </c>
      <c r="O10" s="27">
        <v>24.1</v>
      </c>
      <c r="P10" s="22">
        <v>37.5</v>
      </c>
      <c r="Q10" s="22">
        <v>50.9</v>
      </c>
      <c r="R10" s="22">
        <v>14.3</v>
      </c>
      <c r="S10" s="26">
        <v>10.2</v>
      </c>
      <c r="T10" s="26">
        <v>5.2</v>
      </c>
      <c r="U10" s="26">
        <v>1502.8</v>
      </c>
      <c r="V10" s="26">
        <v>556.3</v>
      </c>
      <c r="W10" s="26">
        <v>715.7</v>
      </c>
      <c r="X10" s="22">
        <v>52.4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4358.2</v>
      </c>
      <c r="AG10" s="27">
        <f>B10+C10-AF10</f>
        <v>1187.9000000000005</v>
      </c>
    </row>
    <row r="11" spans="1:33" ht="15.75">
      <c r="A11" s="3" t="s">
        <v>5</v>
      </c>
      <c r="B11" s="22">
        <f>4281.5+10.4</f>
        <v>4291.9</v>
      </c>
      <c r="C11" s="22"/>
      <c r="D11" s="22"/>
      <c r="E11" s="22">
        <v>56.2</v>
      </c>
      <c r="F11" s="22"/>
      <c r="G11" s="22">
        <v>67.4</v>
      </c>
      <c r="H11" s="22"/>
      <c r="I11" s="22"/>
      <c r="J11" s="26">
        <v>61.4</v>
      </c>
      <c r="K11" s="22">
        <v>375.5</v>
      </c>
      <c r="L11" s="22">
        <v>513</v>
      </c>
      <c r="M11" s="22">
        <v>243.5</v>
      </c>
      <c r="N11" s="22"/>
      <c r="O11" s="27">
        <v>0.3</v>
      </c>
      <c r="P11" s="22"/>
      <c r="Q11" s="22">
        <v>0.2</v>
      </c>
      <c r="R11" s="22"/>
      <c r="S11" s="26"/>
      <c r="T11" s="26">
        <v>0.2</v>
      </c>
      <c r="U11" s="26">
        <v>1502.8</v>
      </c>
      <c r="V11" s="26">
        <v>529.2</v>
      </c>
      <c r="W11" s="26">
        <v>582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3931.7</v>
      </c>
      <c r="AG11" s="27">
        <f>B11+C11-AF11</f>
        <v>360.1999999999998</v>
      </c>
    </row>
    <row r="12" spans="1:33" ht="15.75">
      <c r="A12" s="3" t="s">
        <v>2</v>
      </c>
      <c r="B12" s="36">
        <v>550.6</v>
      </c>
      <c r="C12" s="22"/>
      <c r="D12" s="22"/>
      <c r="E12" s="22"/>
      <c r="F12" s="22">
        <v>9.8</v>
      </c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>
        <v>96.8</v>
      </c>
      <c r="X12" s="22">
        <v>35.3</v>
      </c>
      <c r="Y12" s="26"/>
      <c r="Z12" s="26"/>
      <c r="AA12" s="26"/>
      <c r="AB12" s="22"/>
      <c r="AC12" s="22"/>
      <c r="AD12" s="22"/>
      <c r="AE12" s="22"/>
      <c r="AF12" s="22">
        <f t="shared" si="1"/>
        <v>141.89999999999998</v>
      </c>
      <c r="AG12" s="27">
        <f>B12+C12-AF12</f>
        <v>408.70000000000005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703.6000000000007</v>
      </c>
      <c r="C14" s="22">
        <f t="shared" si="2"/>
        <v>0</v>
      </c>
      <c r="D14" s="22">
        <f t="shared" si="2"/>
        <v>0</v>
      </c>
      <c r="E14" s="22">
        <f t="shared" si="2"/>
        <v>3</v>
      </c>
      <c r="F14" s="22">
        <f t="shared" si="2"/>
        <v>7.300000000000001</v>
      </c>
      <c r="G14" s="22">
        <f t="shared" si="2"/>
        <v>1.7999999999999972</v>
      </c>
      <c r="H14" s="22">
        <f t="shared" si="2"/>
        <v>0.3</v>
      </c>
      <c r="I14" s="22">
        <f t="shared" si="2"/>
        <v>0.1</v>
      </c>
      <c r="J14" s="22">
        <f t="shared" si="2"/>
        <v>3.6000000000000014</v>
      </c>
      <c r="K14" s="22">
        <f t="shared" si="2"/>
        <v>9.300000000000011</v>
      </c>
      <c r="L14" s="22">
        <f t="shared" si="2"/>
        <v>13.299999999999955</v>
      </c>
      <c r="M14" s="22">
        <f t="shared" si="2"/>
        <v>2.6999999999999886</v>
      </c>
      <c r="N14" s="22">
        <f t="shared" si="2"/>
        <v>20.6</v>
      </c>
      <c r="O14" s="22">
        <f t="shared" si="2"/>
        <v>23.8</v>
      </c>
      <c r="P14" s="22">
        <f t="shared" si="2"/>
        <v>37.5</v>
      </c>
      <c r="Q14" s="22">
        <f t="shared" si="2"/>
        <v>50.699999999999996</v>
      </c>
      <c r="R14" s="22">
        <f t="shared" si="2"/>
        <v>14.3</v>
      </c>
      <c r="S14" s="22">
        <f t="shared" si="2"/>
        <v>10.2</v>
      </c>
      <c r="T14" s="22">
        <f t="shared" si="2"/>
        <v>5</v>
      </c>
      <c r="U14" s="22">
        <f t="shared" si="2"/>
        <v>0</v>
      </c>
      <c r="V14" s="22">
        <f t="shared" si="2"/>
        <v>27.09999999999991</v>
      </c>
      <c r="W14" s="22">
        <f t="shared" si="2"/>
        <v>36.90000000000005</v>
      </c>
      <c r="X14" s="22">
        <f t="shared" si="2"/>
        <v>17.1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284.5999999999999</v>
      </c>
      <c r="AG14" s="27">
        <f>AG10-AG11-AG12-AG13</f>
        <v>419.0000000000007</v>
      </c>
    </row>
    <row r="15" spans="1:33" ht="15" customHeight="1">
      <c r="A15" s="4" t="s">
        <v>6</v>
      </c>
      <c r="B15" s="22">
        <v>52420.7</v>
      </c>
      <c r="C15" s="22"/>
      <c r="D15" s="44">
        <f>115.9+1.9</f>
        <v>117.80000000000001</v>
      </c>
      <c r="E15" s="44">
        <v>63.8</v>
      </c>
      <c r="F15" s="22">
        <v>2988.6</v>
      </c>
      <c r="G15" s="22">
        <v>54.7</v>
      </c>
      <c r="H15" s="22"/>
      <c r="I15" s="22"/>
      <c r="J15" s="26"/>
      <c r="K15" s="22"/>
      <c r="L15" s="22">
        <v>4050.2</v>
      </c>
      <c r="M15" s="22">
        <v>6796.2</v>
      </c>
      <c r="N15" s="22">
        <v>2.3</v>
      </c>
      <c r="O15" s="27"/>
      <c r="P15" s="22">
        <v>3434.8</v>
      </c>
      <c r="Q15" s="27">
        <v>4933.2</v>
      </c>
      <c r="R15" s="22">
        <v>160.9</v>
      </c>
      <c r="S15" s="26">
        <v>167.4</v>
      </c>
      <c r="T15" s="26">
        <v>314.1</v>
      </c>
      <c r="U15" s="26">
        <v>2557.2</v>
      </c>
      <c r="V15" s="26">
        <v>10885.5</v>
      </c>
      <c r="W15" s="26">
        <v>1595.8</v>
      </c>
      <c r="X15" s="22">
        <v>93.6</v>
      </c>
      <c r="Y15" s="26"/>
      <c r="Z15" s="26"/>
      <c r="AA15" s="26"/>
      <c r="AB15" s="22"/>
      <c r="AC15" s="22"/>
      <c r="AD15" s="22"/>
      <c r="AE15" s="22"/>
      <c r="AF15" s="27">
        <f t="shared" si="1"/>
        <v>38216.1</v>
      </c>
      <c r="AG15" s="27">
        <f aca="true" t="shared" si="3" ref="AG15:AG31">B15+C15-AF15</f>
        <v>14204.599999999999</v>
      </c>
    </row>
    <row r="16" spans="1:34" s="70" customFormat="1" ht="15" customHeight="1">
      <c r="A16" s="65" t="s">
        <v>46</v>
      </c>
      <c r="B16" s="66">
        <v>14260.4</v>
      </c>
      <c r="C16" s="66"/>
      <c r="D16" s="67">
        <v>1.9</v>
      </c>
      <c r="E16" s="67">
        <v>63.8</v>
      </c>
      <c r="F16" s="66">
        <v>1046.3</v>
      </c>
      <c r="G16" s="66"/>
      <c r="H16" s="66"/>
      <c r="I16" s="66"/>
      <c r="J16" s="68"/>
      <c r="K16" s="66"/>
      <c r="L16" s="66"/>
      <c r="M16" s="66">
        <v>6719.3</v>
      </c>
      <c r="N16" s="66"/>
      <c r="O16" s="69"/>
      <c r="P16" s="66"/>
      <c r="Q16" s="69">
        <v>1648.4</v>
      </c>
      <c r="R16" s="66">
        <v>0.1</v>
      </c>
      <c r="S16" s="68"/>
      <c r="T16" s="68"/>
      <c r="U16" s="68"/>
      <c r="V16" s="68">
        <v>3694.8</v>
      </c>
      <c r="W16" s="68">
        <v>239.7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13414.300000000003</v>
      </c>
      <c r="AG16" s="71">
        <f t="shared" si="3"/>
        <v>846.0999999999967</v>
      </c>
      <c r="AH16" s="75"/>
    </row>
    <row r="17" spans="1:34" ht="15.75">
      <c r="A17" s="3" t="s">
        <v>5</v>
      </c>
      <c r="B17" s="22">
        <v>26180.9</v>
      </c>
      <c r="C17" s="22"/>
      <c r="D17" s="22"/>
      <c r="E17" s="22"/>
      <c r="F17" s="22"/>
      <c r="G17" s="22"/>
      <c r="H17" s="22"/>
      <c r="I17" s="22"/>
      <c r="J17" s="26"/>
      <c r="K17" s="22"/>
      <c r="L17" s="22">
        <v>4022.1</v>
      </c>
      <c r="M17" s="22">
        <v>5553.6</v>
      </c>
      <c r="N17" s="22"/>
      <c r="O17" s="27"/>
      <c r="P17" s="22">
        <v>3348.6</v>
      </c>
      <c r="Q17" s="27"/>
      <c r="R17" s="22"/>
      <c r="S17" s="26"/>
      <c r="T17" s="26"/>
      <c r="U17" s="26">
        <v>2163.6</v>
      </c>
      <c r="V17" s="26">
        <v>10156.4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25244.300000000003</v>
      </c>
      <c r="AG17" s="27">
        <f t="shared" si="3"/>
        <v>936.5999999999985</v>
      </c>
      <c r="AH17" s="6"/>
    </row>
    <row r="18" spans="1:33" ht="15.75">
      <c r="A18" s="3" t="s">
        <v>3</v>
      </c>
      <c r="B18" s="22">
        <v>10.6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>
        <v>4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4</v>
      </c>
      <c r="AG18" s="27">
        <f t="shared" si="3"/>
        <v>6.6</v>
      </c>
    </row>
    <row r="19" spans="1:33" ht="15.75">
      <c r="A19" s="3" t="s">
        <v>1</v>
      </c>
      <c r="B19" s="22">
        <v>4871.9</v>
      </c>
      <c r="C19" s="22"/>
      <c r="D19" s="22">
        <v>115.9</v>
      </c>
      <c r="E19" s="22"/>
      <c r="F19" s="22">
        <v>196.4</v>
      </c>
      <c r="G19" s="22">
        <v>52.1</v>
      </c>
      <c r="H19" s="22"/>
      <c r="I19" s="22"/>
      <c r="J19" s="26"/>
      <c r="K19" s="22"/>
      <c r="L19" s="22"/>
      <c r="M19" s="22">
        <v>68.7</v>
      </c>
      <c r="N19" s="22"/>
      <c r="O19" s="27"/>
      <c r="P19" s="22">
        <v>86.2</v>
      </c>
      <c r="Q19" s="27"/>
      <c r="R19" s="22">
        <v>0.1</v>
      </c>
      <c r="S19" s="26">
        <v>55.3</v>
      </c>
      <c r="T19" s="26">
        <v>64.8</v>
      </c>
      <c r="U19" s="26">
        <v>145.1</v>
      </c>
      <c r="V19" s="26">
        <v>546</v>
      </c>
      <c r="W19" s="26">
        <v>625.6</v>
      </c>
      <c r="X19" s="22">
        <v>89.3</v>
      </c>
      <c r="Y19" s="26"/>
      <c r="Z19" s="26"/>
      <c r="AA19" s="26"/>
      <c r="AB19" s="22"/>
      <c r="AC19" s="22"/>
      <c r="AD19" s="22"/>
      <c r="AE19" s="22"/>
      <c r="AF19" s="27">
        <f t="shared" si="1"/>
        <v>2045.4999999999998</v>
      </c>
      <c r="AG19" s="27">
        <f t="shared" si="3"/>
        <v>2826.3999999999996</v>
      </c>
    </row>
    <row r="20" spans="1:33" ht="15.75">
      <c r="A20" s="3" t="s">
        <v>2</v>
      </c>
      <c r="B20" s="22">
        <v>17096.8</v>
      </c>
      <c r="C20" s="22"/>
      <c r="D20" s="22">
        <v>1.9</v>
      </c>
      <c r="E20" s="22">
        <v>63.8</v>
      </c>
      <c r="F20" s="22">
        <v>2790</v>
      </c>
      <c r="G20" s="22">
        <v>1.3</v>
      </c>
      <c r="H20" s="22"/>
      <c r="I20" s="22"/>
      <c r="J20" s="26"/>
      <c r="K20" s="22"/>
      <c r="L20" s="22">
        <v>13.9</v>
      </c>
      <c r="M20" s="22">
        <v>1170.1</v>
      </c>
      <c r="N20" s="22">
        <v>0.8</v>
      </c>
      <c r="O20" s="27"/>
      <c r="P20" s="22"/>
      <c r="Q20" s="27">
        <v>3680.6</v>
      </c>
      <c r="R20" s="22"/>
      <c r="S20" s="26">
        <v>96.8</v>
      </c>
      <c r="T20" s="26">
        <v>2.2</v>
      </c>
      <c r="U20" s="26">
        <v>30.4</v>
      </c>
      <c r="V20" s="26">
        <v>160.1</v>
      </c>
      <c r="W20" s="26">
        <v>658.7</v>
      </c>
      <c r="X20" s="22">
        <v>3.6</v>
      </c>
      <c r="Y20" s="26"/>
      <c r="Z20" s="26"/>
      <c r="AA20" s="26"/>
      <c r="AB20" s="22"/>
      <c r="AC20" s="22"/>
      <c r="AD20" s="22"/>
      <c r="AE20" s="22"/>
      <c r="AF20" s="27">
        <f t="shared" si="1"/>
        <v>8674.2</v>
      </c>
      <c r="AG20" s="27">
        <f t="shared" si="3"/>
        <v>8422.599999999999</v>
      </c>
    </row>
    <row r="21" spans="1:33" ht="15.75">
      <c r="A21" s="3" t="s">
        <v>17</v>
      </c>
      <c r="B21" s="22">
        <v>2567.6</v>
      </c>
      <c r="C21" s="22"/>
      <c r="D21" s="22"/>
      <c r="E21" s="22"/>
      <c r="F21" s="22"/>
      <c r="G21" s="22"/>
      <c r="H21" s="22"/>
      <c r="I21" s="22"/>
      <c r="J21" s="26"/>
      <c r="K21" s="22"/>
      <c r="L21" s="22">
        <v>12.7</v>
      </c>
      <c r="M21" s="22">
        <v>3.8</v>
      </c>
      <c r="N21" s="22"/>
      <c r="O21" s="27"/>
      <c r="P21" s="22"/>
      <c r="Q21" s="27">
        <v>1250.6</v>
      </c>
      <c r="R21" s="22">
        <v>160.8</v>
      </c>
      <c r="S21" s="26"/>
      <c r="T21" s="26">
        <v>241</v>
      </c>
      <c r="U21" s="22">
        <v>218.1</v>
      </c>
      <c r="V21" s="22"/>
      <c r="W21" s="22">
        <v>277.6</v>
      </c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2164.6</v>
      </c>
      <c r="AG21" s="27">
        <f t="shared" si="3"/>
        <v>403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1692.8999999999965</v>
      </c>
      <c r="C23" s="22">
        <f t="shared" si="4"/>
        <v>0</v>
      </c>
      <c r="D23" s="22">
        <f t="shared" si="4"/>
        <v>5.773159728050814E-15</v>
      </c>
      <c r="E23" s="22">
        <f t="shared" si="4"/>
        <v>0</v>
      </c>
      <c r="F23" s="22">
        <f t="shared" si="4"/>
        <v>2.199999999999818</v>
      </c>
      <c r="G23" s="22">
        <f t="shared" si="4"/>
        <v>1.3000000000000014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1.4999999999999094</v>
      </c>
      <c r="M23" s="22">
        <f t="shared" si="4"/>
        <v>-5.000444502911705E-13</v>
      </c>
      <c r="N23" s="22">
        <f t="shared" si="4"/>
        <v>1.4999999999999998</v>
      </c>
      <c r="O23" s="22">
        <f t="shared" si="4"/>
        <v>0</v>
      </c>
      <c r="P23" s="22">
        <f t="shared" si="4"/>
        <v>2.7000623958883807E-13</v>
      </c>
      <c r="Q23" s="22">
        <f t="shared" si="4"/>
        <v>2</v>
      </c>
      <c r="R23" s="22">
        <f t="shared" si="4"/>
        <v>0</v>
      </c>
      <c r="S23" s="22">
        <f t="shared" si="4"/>
        <v>15.300000000000011</v>
      </c>
      <c r="T23" s="22">
        <f t="shared" si="4"/>
        <v>2.1000000000000227</v>
      </c>
      <c r="U23" s="22">
        <f t="shared" si="4"/>
        <v>-8.526512829121202E-14</v>
      </c>
      <c r="V23" s="22">
        <f t="shared" si="4"/>
        <v>23.00000000000037</v>
      </c>
      <c r="W23" s="22">
        <f t="shared" si="4"/>
        <v>33.899999999999864</v>
      </c>
      <c r="X23" s="22">
        <f t="shared" si="4"/>
        <v>0.6999999999999971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83.49999999999969</v>
      </c>
      <c r="AG23" s="27">
        <f t="shared" si="3"/>
        <v>1609.3999999999967</v>
      </c>
    </row>
    <row r="24" spans="1:33" ht="15" customHeight="1">
      <c r="A24" s="4" t="s">
        <v>7</v>
      </c>
      <c r="B24" s="22">
        <v>21910.8</v>
      </c>
      <c r="C24" s="22"/>
      <c r="D24" s="22">
        <v>565.7</v>
      </c>
      <c r="E24" s="22"/>
      <c r="F24" s="22"/>
      <c r="G24" s="22">
        <v>282.3</v>
      </c>
      <c r="H24" s="22">
        <v>195.5</v>
      </c>
      <c r="I24" s="22"/>
      <c r="J24" s="26"/>
      <c r="K24" s="22">
        <v>508.6</v>
      </c>
      <c r="L24" s="22"/>
      <c r="M24" s="22">
        <v>5725.7</v>
      </c>
      <c r="N24" s="22"/>
      <c r="O24" s="27"/>
      <c r="P24" s="22"/>
      <c r="Q24" s="27">
        <v>2584.4</v>
      </c>
      <c r="R24" s="27"/>
      <c r="S24" s="26"/>
      <c r="T24" s="26">
        <v>8528.6</v>
      </c>
      <c r="U24" s="26">
        <v>385.3</v>
      </c>
      <c r="V24" s="26">
        <v>454.2</v>
      </c>
      <c r="W24" s="26">
        <v>396.4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19626.7</v>
      </c>
      <c r="AG24" s="27">
        <f t="shared" si="3"/>
        <v>2284.0999999999985</v>
      </c>
    </row>
    <row r="25" spans="1:34" s="70" customFormat="1" ht="15" customHeight="1">
      <c r="A25" s="65" t="s">
        <v>47</v>
      </c>
      <c r="B25" s="66">
        <v>16643.4</v>
      </c>
      <c r="C25" s="66"/>
      <c r="D25" s="66">
        <v>565.7</v>
      </c>
      <c r="E25" s="66"/>
      <c r="F25" s="66"/>
      <c r="G25" s="66">
        <v>282.3</v>
      </c>
      <c r="H25" s="66">
        <v>110.6</v>
      </c>
      <c r="I25" s="66"/>
      <c r="J25" s="68"/>
      <c r="K25" s="66">
        <v>420</v>
      </c>
      <c r="L25" s="66"/>
      <c r="M25" s="66">
        <v>5725.7</v>
      </c>
      <c r="N25" s="66"/>
      <c r="O25" s="69"/>
      <c r="P25" s="66"/>
      <c r="Q25" s="69">
        <v>2458.6</v>
      </c>
      <c r="R25" s="69"/>
      <c r="S25" s="68"/>
      <c r="T25" s="68">
        <v>4587.6</v>
      </c>
      <c r="U25" s="68">
        <v>87.8</v>
      </c>
      <c r="V25" s="68">
        <v>415.3</v>
      </c>
      <c r="W25" s="68">
        <v>396.4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15049.999999999998</v>
      </c>
      <c r="AG25" s="71">
        <f t="shared" si="3"/>
        <v>1593.4000000000033</v>
      </c>
      <c r="AH25" s="75"/>
    </row>
    <row r="26" spans="1:34" ht="15.75">
      <c r="A26" s="3" t="s">
        <v>5</v>
      </c>
      <c r="B26" s="22">
        <v>15298.8</v>
      </c>
      <c r="C26" s="22"/>
      <c r="D26" s="22"/>
      <c r="E26" s="22"/>
      <c r="F26" s="22"/>
      <c r="G26" s="22">
        <v>2.4</v>
      </c>
      <c r="H26" s="22"/>
      <c r="I26" s="22"/>
      <c r="J26" s="26"/>
      <c r="K26" s="22"/>
      <c r="L26" s="22"/>
      <c r="M26" s="22">
        <v>5725.7</v>
      </c>
      <c r="N26" s="22"/>
      <c r="O26" s="27"/>
      <c r="P26" s="22"/>
      <c r="Q26" s="27"/>
      <c r="R26" s="22"/>
      <c r="S26" s="26"/>
      <c r="T26" s="26">
        <v>8251</v>
      </c>
      <c r="U26" s="26">
        <v>357.7</v>
      </c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14336.8</v>
      </c>
      <c r="AG26" s="27">
        <f t="shared" si="3"/>
        <v>962</v>
      </c>
      <c r="AH26" s="6"/>
    </row>
    <row r="27" spans="1:33" ht="15.75">
      <c r="A27" s="3" t="s">
        <v>3</v>
      </c>
      <c r="B27" s="22">
        <v>1509.5</v>
      </c>
      <c r="C27" s="22"/>
      <c r="D27" s="22">
        <v>100</v>
      </c>
      <c r="E27" s="22"/>
      <c r="F27" s="22"/>
      <c r="G27" s="22">
        <v>1.7</v>
      </c>
      <c r="H27" s="22">
        <v>148.4</v>
      </c>
      <c r="I27" s="22"/>
      <c r="J27" s="26"/>
      <c r="K27" s="22">
        <v>215.7</v>
      </c>
      <c r="L27" s="22"/>
      <c r="M27" s="22"/>
      <c r="N27" s="22"/>
      <c r="O27" s="27"/>
      <c r="P27" s="22"/>
      <c r="Q27" s="27">
        <v>278.3</v>
      </c>
      <c r="R27" s="22"/>
      <c r="S27" s="26"/>
      <c r="T27" s="26">
        <v>117.8</v>
      </c>
      <c r="U27" s="26"/>
      <c r="V27" s="26">
        <v>152.1</v>
      </c>
      <c r="W27" s="26">
        <v>196.9</v>
      </c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1210.9</v>
      </c>
      <c r="AG27" s="27">
        <f t="shared" si="3"/>
        <v>298.5999999999999</v>
      </c>
    </row>
    <row r="28" spans="1:33" ht="15.75">
      <c r="A28" s="3" t="s">
        <v>1</v>
      </c>
      <c r="B28" s="22">
        <v>346.9</v>
      </c>
      <c r="C28" s="22"/>
      <c r="D28" s="22"/>
      <c r="E28" s="22"/>
      <c r="F28" s="22"/>
      <c r="G28" s="22">
        <v>19.5</v>
      </c>
      <c r="H28" s="22">
        <v>2.9</v>
      </c>
      <c r="I28" s="22"/>
      <c r="J28" s="26"/>
      <c r="K28" s="22">
        <v>68.3</v>
      </c>
      <c r="L28" s="22"/>
      <c r="M28" s="22"/>
      <c r="N28" s="22"/>
      <c r="O28" s="27"/>
      <c r="P28" s="22"/>
      <c r="Q28" s="27">
        <v>78.1</v>
      </c>
      <c r="R28" s="22"/>
      <c r="S28" s="26"/>
      <c r="T28" s="26">
        <v>10.6</v>
      </c>
      <c r="U28" s="26"/>
      <c r="V28" s="26">
        <v>165.4</v>
      </c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344.79999999999995</v>
      </c>
      <c r="AG28" s="27">
        <f t="shared" si="3"/>
        <v>2.1000000000000227</v>
      </c>
    </row>
    <row r="29" spans="1:33" ht="15.75">
      <c r="A29" s="3" t="s">
        <v>2</v>
      </c>
      <c r="B29" s="22">
        <v>4014.6</v>
      </c>
      <c r="C29" s="22"/>
      <c r="D29" s="22">
        <v>465.7</v>
      </c>
      <c r="E29" s="22"/>
      <c r="F29" s="22"/>
      <c r="G29" s="22">
        <v>246.3</v>
      </c>
      <c r="H29" s="22">
        <v>3.9</v>
      </c>
      <c r="I29" s="22"/>
      <c r="J29" s="26"/>
      <c r="K29" s="22">
        <v>169.6</v>
      </c>
      <c r="L29" s="22"/>
      <c r="M29" s="22"/>
      <c r="N29" s="22"/>
      <c r="O29" s="27"/>
      <c r="P29" s="22"/>
      <c r="Q29" s="27">
        <v>1975.3</v>
      </c>
      <c r="R29" s="22"/>
      <c r="S29" s="26"/>
      <c r="T29" s="26">
        <v>126.5</v>
      </c>
      <c r="U29" s="26">
        <v>2</v>
      </c>
      <c r="V29" s="26">
        <v>97.4</v>
      </c>
      <c r="W29" s="26">
        <v>199.5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3286.2000000000003</v>
      </c>
      <c r="AG29" s="27">
        <f t="shared" si="3"/>
        <v>728.3999999999996</v>
      </c>
    </row>
    <row r="30" spans="1:33" ht="15.75">
      <c r="A30" s="3" t="s">
        <v>17</v>
      </c>
      <c r="B30" s="22">
        <v>146.8</v>
      </c>
      <c r="C30" s="22"/>
      <c r="D30" s="22"/>
      <c r="E30" s="22"/>
      <c r="F30" s="22"/>
      <c r="G30" s="22">
        <v>2.4</v>
      </c>
      <c r="H30" s="22"/>
      <c r="I30" s="22"/>
      <c r="J30" s="26"/>
      <c r="K30" s="22">
        <v>2.5</v>
      </c>
      <c r="L30" s="22"/>
      <c r="M30" s="22"/>
      <c r="N30" s="22"/>
      <c r="O30" s="27"/>
      <c r="P30" s="22"/>
      <c r="Q30" s="27">
        <v>128.1</v>
      </c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133</v>
      </c>
      <c r="AG30" s="27">
        <f t="shared" si="3"/>
        <v>13.800000000000011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594.2000000000005</v>
      </c>
      <c r="C32" s="22">
        <f t="shared" si="5"/>
        <v>0</v>
      </c>
      <c r="D32" s="22">
        <f t="shared" si="5"/>
        <v>5.684341886080802E-14</v>
      </c>
      <c r="E32" s="22">
        <f t="shared" si="5"/>
        <v>0</v>
      </c>
      <c r="F32" s="22">
        <f t="shared" si="5"/>
        <v>0</v>
      </c>
      <c r="G32" s="22">
        <f t="shared" si="5"/>
        <v>10.000000000000034</v>
      </c>
      <c r="H32" s="22">
        <f t="shared" si="5"/>
        <v>40.3</v>
      </c>
      <c r="I32" s="22">
        <f t="shared" si="5"/>
        <v>0</v>
      </c>
      <c r="J32" s="22">
        <f t="shared" si="5"/>
        <v>0</v>
      </c>
      <c r="K32" s="22">
        <f t="shared" si="5"/>
        <v>52.50000000000003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124.60000000000005</v>
      </c>
      <c r="R32" s="22">
        <f t="shared" si="5"/>
        <v>0</v>
      </c>
      <c r="S32" s="22">
        <f t="shared" si="5"/>
        <v>0</v>
      </c>
      <c r="T32" s="22">
        <f t="shared" si="5"/>
        <v>22.700000000000358</v>
      </c>
      <c r="U32" s="22">
        <f t="shared" si="5"/>
        <v>25.600000000000023</v>
      </c>
      <c r="V32" s="22">
        <f t="shared" si="5"/>
        <v>39.30000000000001</v>
      </c>
      <c r="W32" s="22">
        <f t="shared" si="5"/>
        <v>-2.842170943040401E-14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315.00000000000057</v>
      </c>
      <c r="AG32" s="27">
        <f>AG24-AG26-AG27-AG28-AG29-AG30-AG31</f>
        <v>279.19999999999897</v>
      </c>
    </row>
    <row r="33" spans="1:33" ht="15" customHeight="1">
      <c r="A33" s="4" t="s">
        <v>8</v>
      </c>
      <c r="B33" s="22">
        <v>243.4</v>
      </c>
      <c r="C33" s="22"/>
      <c r="D33" s="22"/>
      <c r="E33" s="22"/>
      <c r="F33" s="22"/>
      <c r="G33" s="22"/>
      <c r="H33" s="22"/>
      <c r="I33" s="22"/>
      <c r="J33" s="26"/>
      <c r="K33" s="22"/>
      <c r="L33" s="22">
        <v>47.2</v>
      </c>
      <c r="M33" s="22"/>
      <c r="N33" s="22">
        <v>46</v>
      </c>
      <c r="O33" s="27"/>
      <c r="P33" s="22"/>
      <c r="Q33" s="27"/>
      <c r="R33" s="22"/>
      <c r="S33" s="26">
        <v>5</v>
      </c>
      <c r="T33" s="26"/>
      <c r="U33" s="26">
        <v>62.5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160.7</v>
      </c>
      <c r="AG33" s="27">
        <f aca="true" t="shared" si="6" ref="AG33:AG38">B33+C33-AF33</f>
        <v>82.70000000000002</v>
      </c>
    </row>
    <row r="34" spans="1:33" ht="15.75">
      <c r="A34" s="3" t="s">
        <v>5</v>
      </c>
      <c r="B34" s="22">
        <v>115</v>
      </c>
      <c r="C34" s="22"/>
      <c r="D34" s="22"/>
      <c r="E34" s="22"/>
      <c r="F34" s="22"/>
      <c r="G34" s="22"/>
      <c r="H34" s="22"/>
      <c r="I34" s="22"/>
      <c r="J34" s="26"/>
      <c r="K34" s="22"/>
      <c r="L34" s="22">
        <v>47.2</v>
      </c>
      <c r="M34" s="22"/>
      <c r="N34" s="22"/>
      <c r="O34" s="22"/>
      <c r="P34" s="22"/>
      <c r="Q34" s="27"/>
      <c r="R34" s="22"/>
      <c r="S34" s="26"/>
      <c r="T34" s="26"/>
      <c r="U34" s="26">
        <v>62.5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109.7</v>
      </c>
      <c r="AG34" s="27">
        <f t="shared" si="6"/>
        <v>5.299999999999997</v>
      </c>
    </row>
    <row r="35" spans="1:33" ht="15.75">
      <c r="A35" s="3" t="s">
        <v>1</v>
      </c>
      <c r="B35" s="22">
        <v>0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113.4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45.7</v>
      </c>
      <c r="O36" s="27"/>
      <c r="P36" s="22"/>
      <c r="Q36" s="27"/>
      <c r="R36" s="22"/>
      <c r="S36" s="26">
        <v>4.9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50.6</v>
      </c>
      <c r="AG36" s="27">
        <f t="shared" si="6"/>
        <v>62.800000000000004</v>
      </c>
    </row>
    <row r="37" spans="1:33" ht="15.75">
      <c r="A37" s="3" t="s">
        <v>17</v>
      </c>
      <c r="B37" s="22">
        <v>0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0.29999999999999716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0.09999999999999964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0.3999999999999968</v>
      </c>
      <c r="AG39" s="27">
        <f>AG33-AG34-AG36-AG38-AG35-AG37</f>
        <v>14.600000000000016</v>
      </c>
    </row>
    <row r="40" spans="1:33" ht="15" customHeight="1">
      <c r="A40" s="4" t="s">
        <v>33</v>
      </c>
      <c r="B40" s="22">
        <v>734.8</v>
      </c>
      <c r="C40" s="22"/>
      <c r="D40" s="22"/>
      <c r="E40" s="22"/>
      <c r="F40" s="22"/>
      <c r="G40" s="22"/>
      <c r="H40" s="22"/>
      <c r="I40" s="22"/>
      <c r="J40" s="26">
        <v>14.4</v>
      </c>
      <c r="K40" s="22"/>
      <c r="L40" s="22">
        <v>236.4</v>
      </c>
      <c r="M40" s="22"/>
      <c r="N40" s="22"/>
      <c r="O40" s="27"/>
      <c r="P40" s="22">
        <v>3.2</v>
      </c>
      <c r="Q40" s="27"/>
      <c r="R40" s="27"/>
      <c r="S40" s="26">
        <v>114.6</v>
      </c>
      <c r="T40" s="26"/>
      <c r="U40" s="26"/>
      <c r="V40" s="26">
        <v>291.3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659.9000000000001</v>
      </c>
      <c r="AG40" s="27">
        <f aca="true" t="shared" si="8" ref="AG40:AG45">B40+C40-AF40</f>
        <v>74.89999999999986</v>
      </c>
    </row>
    <row r="41" spans="1:34" ht="15.75">
      <c r="A41" s="3" t="s">
        <v>5</v>
      </c>
      <c r="B41" s="22">
        <v>552.5</v>
      </c>
      <c r="C41" s="22"/>
      <c r="D41" s="22"/>
      <c r="E41" s="22"/>
      <c r="F41" s="22"/>
      <c r="G41" s="22"/>
      <c r="H41" s="22"/>
      <c r="I41" s="22"/>
      <c r="J41" s="26"/>
      <c r="K41" s="22"/>
      <c r="L41" s="22">
        <v>235.3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288.8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524.1</v>
      </c>
      <c r="AG41" s="27">
        <f t="shared" si="8"/>
        <v>28.399999999999977</v>
      </c>
      <c r="AH41" s="6"/>
    </row>
    <row r="42" spans="1:33" ht="15.75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6.5</v>
      </c>
      <c r="C43" s="22"/>
      <c r="D43" s="22"/>
      <c r="E43" s="22"/>
      <c r="F43" s="22"/>
      <c r="G43" s="22"/>
      <c r="H43" s="22"/>
      <c r="I43" s="22"/>
      <c r="J43" s="26">
        <v>0.2</v>
      </c>
      <c r="K43" s="22"/>
      <c r="L43" s="22"/>
      <c r="M43" s="22"/>
      <c r="N43" s="22"/>
      <c r="O43" s="27"/>
      <c r="P43" s="22">
        <v>2.1</v>
      </c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2.3000000000000003</v>
      </c>
      <c r="AG43" s="27">
        <f t="shared" si="8"/>
        <v>4.199999999999999</v>
      </c>
    </row>
    <row r="44" spans="1:33" ht="15.75">
      <c r="A44" s="3" t="s">
        <v>2</v>
      </c>
      <c r="B44" s="22">
        <v>140.3</v>
      </c>
      <c r="C44" s="22"/>
      <c r="D44" s="22"/>
      <c r="E44" s="22"/>
      <c r="F44" s="22"/>
      <c r="G44" s="22"/>
      <c r="H44" s="22"/>
      <c r="I44" s="22"/>
      <c r="J44" s="26">
        <v>2.5</v>
      </c>
      <c r="K44" s="22"/>
      <c r="L44" s="22"/>
      <c r="M44" s="22"/>
      <c r="N44" s="22"/>
      <c r="O44" s="27"/>
      <c r="P44" s="22">
        <v>0.8</v>
      </c>
      <c r="Q44" s="22"/>
      <c r="R44" s="22"/>
      <c r="S44" s="26">
        <v>112.4</v>
      </c>
      <c r="T44" s="26"/>
      <c r="U44" s="26"/>
      <c r="V44" s="26">
        <v>2.2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117.9</v>
      </c>
      <c r="AG44" s="27">
        <f t="shared" si="8"/>
        <v>22.400000000000006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35.49999999999994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11.700000000000001</v>
      </c>
      <c r="K46" s="22">
        <f t="shared" si="10"/>
        <v>0</v>
      </c>
      <c r="L46" s="22">
        <f t="shared" si="10"/>
        <v>1.0999999999999943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0.30000000000000004</v>
      </c>
      <c r="Q46" s="22">
        <f t="shared" si="10"/>
        <v>0</v>
      </c>
      <c r="R46" s="22">
        <f t="shared" si="10"/>
        <v>0</v>
      </c>
      <c r="S46" s="22">
        <f t="shared" si="10"/>
        <v>2.1999999999999886</v>
      </c>
      <c r="T46" s="22">
        <f t="shared" si="10"/>
        <v>0</v>
      </c>
      <c r="U46" s="22">
        <f t="shared" si="10"/>
        <v>0</v>
      </c>
      <c r="V46" s="22">
        <f t="shared" si="10"/>
        <v>0.2999999999999998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15.599999999999984</v>
      </c>
      <c r="AG46" s="27">
        <f>AG40-AG41-AG42-AG43-AG44-AG45</f>
        <v>19.899999999999878</v>
      </c>
    </row>
    <row r="47" spans="1:33" ht="17.25" customHeight="1">
      <c r="A47" s="4" t="s">
        <v>15</v>
      </c>
      <c r="B47" s="36">
        <v>966.4</v>
      </c>
      <c r="C47" s="22"/>
      <c r="D47" s="22"/>
      <c r="E47" s="28"/>
      <c r="F47" s="28">
        <v>2</v>
      </c>
      <c r="G47" s="28"/>
      <c r="H47" s="28"/>
      <c r="I47" s="28"/>
      <c r="J47" s="29"/>
      <c r="K47" s="28">
        <v>10.9</v>
      </c>
      <c r="L47" s="28">
        <v>26</v>
      </c>
      <c r="M47" s="28"/>
      <c r="N47" s="28">
        <v>40</v>
      </c>
      <c r="O47" s="31"/>
      <c r="P47" s="28">
        <v>10.7</v>
      </c>
      <c r="Q47" s="28">
        <v>4.9</v>
      </c>
      <c r="R47" s="28"/>
      <c r="S47" s="29">
        <v>126.7</v>
      </c>
      <c r="T47" s="29"/>
      <c r="U47" s="28"/>
      <c r="V47" s="28">
        <v>451</v>
      </c>
      <c r="W47" s="28">
        <v>1.9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674.1</v>
      </c>
      <c r="AG47" s="27">
        <f>B47+C47-AF47</f>
        <v>292.29999999999995</v>
      </c>
    </row>
    <row r="48" spans="1:33" ht="15.75">
      <c r="A48" s="3" t="s">
        <v>5</v>
      </c>
      <c r="B48" s="22">
        <v>0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17</v>
      </c>
      <c r="B49" s="22">
        <v>861.2</v>
      </c>
      <c r="C49" s="22"/>
      <c r="D49" s="22"/>
      <c r="E49" s="22"/>
      <c r="F49" s="22">
        <v>2</v>
      </c>
      <c r="G49" s="22"/>
      <c r="H49" s="22"/>
      <c r="I49" s="22"/>
      <c r="J49" s="26"/>
      <c r="K49" s="22"/>
      <c r="L49" s="22">
        <v>26</v>
      </c>
      <c r="M49" s="22"/>
      <c r="N49" s="22">
        <v>40</v>
      </c>
      <c r="O49" s="27"/>
      <c r="P49" s="22"/>
      <c r="Q49" s="22">
        <v>4.1</v>
      </c>
      <c r="R49" s="22"/>
      <c r="S49" s="26">
        <v>126.5</v>
      </c>
      <c r="T49" s="26"/>
      <c r="U49" s="22"/>
      <c r="V49" s="22">
        <v>407.9</v>
      </c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606.5</v>
      </c>
      <c r="AG49" s="27">
        <f>B49+C49-AF49</f>
        <v>254.70000000000005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105.19999999999993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10.9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10.7</v>
      </c>
      <c r="Q51" s="22">
        <f t="shared" si="11"/>
        <v>0.8000000000000007</v>
      </c>
      <c r="R51" s="22">
        <f t="shared" si="11"/>
        <v>0</v>
      </c>
      <c r="S51" s="22">
        <f t="shared" si="11"/>
        <v>0.20000000000000284</v>
      </c>
      <c r="T51" s="22">
        <f t="shared" si="11"/>
        <v>0</v>
      </c>
      <c r="U51" s="22">
        <f t="shared" si="11"/>
        <v>0</v>
      </c>
      <c r="V51" s="22">
        <f t="shared" si="11"/>
        <v>43.10000000000002</v>
      </c>
      <c r="W51" s="22">
        <f t="shared" si="11"/>
        <v>1.9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67.60000000000004</v>
      </c>
      <c r="AG51" s="27">
        <f>AG47-AG49-AG48</f>
        <v>37.59999999999991</v>
      </c>
    </row>
    <row r="52" spans="1:33" ht="15" customHeight="1">
      <c r="A52" s="4" t="s">
        <v>0</v>
      </c>
      <c r="B52" s="22">
        <v>8705.9</v>
      </c>
      <c r="C52" s="22"/>
      <c r="D52" s="22">
        <v>702.6</v>
      </c>
      <c r="E52" s="22">
        <v>368.5</v>
      </c>
      <c r="F52" s="22">
        <v>68.4</v>
      </c>
      <c r="G52" s="22">
        <v>157.9</v>
      </c>
      <c r="H52" s="22"/>
      <c r="I52" s="22">
        <v>4015.3</v>
      </c>
      <c r="J52" s="26"/>
      <c r="K52" s="22"/>
      <c r="L52" s="22">
        <v>212.6</v>
      </c>
      <c r="M52" s="22"/>
      <c r="N52" s="22"/>
      <c r="O52" s="27"/>
      <c r="P52" s="22"/>
      <c r="Q52" s="22">
        <v>788.4</v>
      </c>
      <c r="R52" s="22">
        <v>894.3</v>
      </c>
      <c r="S52" s="26"/>
      <c r="T52" s="26">
        <v>61.1</v>
      </c>
      <c r="U52" s="26"/>
      <c r="V52" s="26">
        <v>517.2</v>
      </c>
      <c r="W52" s="26"/>
      <c r="X52" s="22">
        <v>111.3</v>
      </c>
      <c r="Y52" s="26"/>
      <c r="Z52" s="26"/>
      <c r="AA52" s="26"/>
      <c r="AB52" s="22"/>
      <c r="AC52" s="22"/>
      <c r="AD52" s="22"/>
      <c r="AE52" s="22"/>
      <c r="AF52" s="27">
        <f t="shared" si="9"/>
        <v>7897.600000000001</v>
      </c>
      <c r="AG52" s="27">
        <f aca="true" t="shared" si="12" ref="AG52:AG59">B52+C52-AF52</f>
        <v>808.2999999999984</v>
      </c>
    </row>
    <row r="53" spans="1:33" ht="15" customHeight="1">
      <c r="A53" s="3" t="s">
        <v>2</v>
      </c>
      <c r="B53" s="22">
        <v>819.3</v>
      </c>
      <c r="C53" s="22"/>
      <c r="D53" s="22"/>
      <c r="E53" s="22">
        <v>368.5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61.1</v>
      </c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429.6</v>
      </c>
      <c r="AG53" s="27">
        <f t="shared" si="12"/>
        <v>389.69999999999993</v>
      </c>
    </row>
    <row r="54" spans="1:34" ht="15" customHeight="1">
      <c r="A54" s="4" t="s">
        <v>9</v>
      </c>
      <c r="B54" s="44">
        <v>5130.6</v>
      </c>
      <c r="C54" s="22"/>
      <c r="D54" s="22"/>
      <c r="E54" s="22">
        <v>525.1</v>
      </c>
      <c r="F54" s="22"/>
      <c r="G54" s="22">
        <v>62.5</v>
      </c>
      <c r="H54" s="22">
        <v>112</v>
      </c>
      <c r="I54" s="22">
        <v>1.7</v>
      </c>
      <c r="J54" s="26"/>
      <c r="K54" s="22">
        <v>1386</v>
      </c>
      <c r="L54" s="22">
        <v>0.2</v>
      </c>
      <c r="M54" s="22">
        <v>29.8</v>
      </c>
      <c r="N54" s="22">
        <v>71.3</v>
      </c>
      <c r="O54" s="27"/>
      <c r="P54" s="22"/>
      <c r="Q54" s="27">
        <v>135.1</v>
      </c>
      <c r="R54" s="22"/>
      <c r="S54" s="26"/>
      <c r="T54" s="26">
        <v>1382.9</v>
      </c>
      <c r="U54" s="26">
        <v>3.4</v>
      </c>
      <c r="V54" s="26">
        <v>310.7</v>
      </c>
      <c r="W54" s="26">
        <v>57</v>
      </c>
      <c r="X54" s="22">
        <v>0.3</v>
      </c>
      <c r="Y54" s="26"/>
      <c r="Z54" s="26"/>
      <c r="AA54" s="26"/>
      <c r="AB54" s="22"/>
      <c r="AC54" s="22"/>
      <c r="AD54" s="22"/>
      <c r="AE54" s="22"/>
      <c r="AF54" s="27">
        <f t="shared" si="9"/>
        <v>4078.0000000000005</v>
      </c>
      <c r="AG54" s="22">
        <f t="shared" si="12"/>
        <v>1052.6</v>
      </c>
      <c r="AH54" s="6"/>
    </row>
    <row r="55" spans="1:34" ht="15.75">
      <c r="A55" s="3" t="s">
        <v>5</v>
      </c>
      <c r="B55" s="22">
        <v>2800</v>
      </c>
      <c r="C55" s="22"/>
      <c r="D55" s="22"/>
      <c r="E55" s="22"/>
      <c r="F55" s="22"/>
      <c r="G55" s="22"/>
      <c r="H55" s="22"/>
      <c r="I55" s="22"/>
      <c r="J55" s="26"/>
      <c r="K55" s="22">
        <v>1354.9</v>
      </c>
      <c r="L55" s="22"/>
      <c r="M55" s="22"/>
      <c r="N55" s="22"/>
      <c r="O55" s="27"/>
      <c r="P55" s="22"/>
      <c r="Q55" s="27"/>
      <c r="R55" s="22"/>
      <c r="S55" s="26"/>
      <c r="T55" s="26">
        <v>1304.2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2659.1000000000004</v>
      </c>
      <c r="AG55" s="22">
        <f t="shared" si="12"/>
        <v>140.89999999999964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783</v>
      </c>
      <c r="C57" s="22"/>
      <c r="D57" s="22"/>
      <c r="E57" s="22"/>
      <c r="F57" s="22"/>
      <c r="G57" s="22">
        <v>61.2</v>
      </c>
      <c r="H57" s="22">
        <v>112</v>
      </c>
      <c r="I57" s="22">
        <v>1.1</v>
      </c>
      <c r="J57" s="26"/>
      <c r="K57" s="22">
        <v>10.5</v>
      </c>
      <c r="L57" s="22"/>
      <c r="M57" s="22">
        <v>29.3</v>
      </c>
      <c r="N57" s="22">
        <v>0.6</v>
      </c>
      <c r="O57" s="27"/>
      <c r="P57" s="22"/>
      <c r="Q57" s="27">
        <v>6.8</v>
      </c>
      <c r="R57" s="22"/>
      <c r="S57" s="26"/>
      <c r="T57" s="26">
        <v>9.7</v>
      </c>
      <c r="U57" s="26">
        <v>3.4</v>
      </c>
      <c r="V57" s="26">
        <v>19.2</v>
      </c>
      <c r="W57" s="26">
        <v>41.9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295.7</v>
      </c>
      <c r="AG57" s="22">
        <f t="shared" si="12"/>
        <v>487.3</v>
      </c>
    </row>
    <row r="58" spans="1:33" ht="15.75">
      <c r="A58" s="3" t="s">
        <v>17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>
        <v>5.1</v>
      </c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1542.5000000000005</v>
      </c>
      <c r="C60" s="22">
        <f t="shared" si="13"/>
        <v>0</v>
      </c>
      <c r="D60" s="22">
        <f t="shared" si="13"/>
        <v>0</v>
      </c>
      <c r="E60" s="22">
        <f t="shared" si="13"/>
        <v>525.1</v>
      </c>
      <c r="F60" s="22">
        <f t="shared" si="13"/>
        <v>0</v>
      </c>
      <c r="G60" s="22">
        <f t="shared" si="13"/>
        <v>1.2999999999999972</v>
      </c>
      <c r="H60" s="22">
        <f t="shared" si="13"/>
        <v>0</v>
      </c>
      <c r="I60" s="22">
        <f t="shared" si="13"/>
        <v>0.5999999999999999</v>
      </c>
      <c r="J60" s="22">
        <f t="shared" si="13"/>
        <v>0</v>
      </c>
      <c r="K60" s="22">
        <f t="shared" si="13"/>
        <v>20.59999999999991</v>
      </c>
      <c r="L60" s="22">
        <f t="shared" si="13"/>
        <v>0.2</v>
      </c>
      <c r="M60" s="22">
        <f t="shared" si="13"/>
        <v>0.5</v>
      </c>
      <c r="N60" s="22">
        <f t="shared" si="13"/>
        <v>70.7</v>
      </c>
      <c r="O60" s="22">
        <f t="shared" si="13"/>
        <v>0</v>
      </c>
      <c r="P60" s="22">
        <f t="shared" si="13"/>
        <v>0</v>
      </c>
      <c r="Q60" s="22">
        <f t="shared" si="13"/>
        <v>123.19999999999999</v>
      </c>
      <c r="R60" s="22">
        <f t="shared" si="13"/>
        <v>0</v>
      </c>
      <c r="S60" s="22">
        <f t="shared" si="13"/>
        <v>0</v>
      </c>
      <c r="T60" s="22">
        <f t="shared" si="13"/>
        <v>69.00000000000004</v>
      </c>
      <c r="U60" s="22">
        <f t="shared" si="13"/>
        <v>0</v>
      </c>
      <c r="V60" s="22">
        <f t="shared" si="13"/>
        <v>291.5</v>
      </c>
      <c r="W60" s="22">
        <f t="shared" si="13"/>
        <v>15.100000000000001</v>
      </c>
      <c r="X60" s="22">
        <f t="shared" si="13"/>
        <v>0.3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1118.1000000000001</v>
      </c>
      <c r="AG60" s="22">
        <f>AG54-AG55-AG57-AG59-AG56-AG58</f>
        <v>424.40000000000026</v>
      </c>
    </row>
    <row r="61" spans="1:33" ht="15" customHeight="1">
      <c r="A61" s="4" t="s">
        <v>10</v>
      </c>
      <c r="B61" s="22">
        <v>138.2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>
        <v>22.2</v>
      </c>
      <c r="N61" s="22"/>
      <c r="O61" s="27"/>
      <c r="P61" s="22"/>
      <c r="Q61" s="27">
        <v>3</v>
      </c>
      <c r="R61" s="22"/>
      <c r="S61" s="26"/>
      <c r="T61" s="26"/>
      <c r="U61" s="26"/>
      <c r="V61" s="26">
        <v>5</v>
      </c>
      <c r="W61" s="26">
        <v>12.1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42.3</v>
      </c>
      <c r="AG61" s="22">
        <f aca="true" t="shared" si="15" ref="AG61:AG67">B61+C61-AF61</f>
        <v>95.89999999999999</v>
      </c>
    </row>
    <row r="62" spans="1:33" ht="15" customHeight="1">
      <c r="A62" s="4" t="s">
        <v>11</v>
      </c>
      <c r="B62" s="22">
        <v>1486.3</v>
      </c>
      <c r="C62" s="22"/>
      <c r="D62" s="22"/>
      <c r="E62" s="22"/>
      <c r="F62" s="22"/>
      <c r="G62" s="22"/>
      <c r="H62" s="22"/>
      <c r="I62" s="22"/>
      <c r="J62" s="26"/>
      <c r="K62" s="22">
        <v>16.5</v>
      </c>
      <c r="L62" s="22">
        <v>359.8</v>
      </c>
      <c r="M62" s="22">
        <v>101.4</v>
      </c>
      <c r="N62" s="22"/>
      <c r="O62" s="27"/>
      <c r="P62" s="22">
        <v>28.4</v>
      </c>
      <c r="Q62" s="27"/>
      <c r="R62" s="22"/>
      <c r="S62" s="26"/>
      <c r="T62" s="26">
        <v>17.4</v>
      </c>
      <c r="U62" s="26">
        <v>423.7</v>
      </c>
      <c r="V62" s="26">
        <v>90.6</v>
      </c>
      <c r="W62" s="26">
        <v>34.9</v>
      </c>
      <c r="X62" s="22">
        <v>37</v>
      </c>
      <c r="Y62" s="26"/>
      <c r="Z62" s="26"/>
      <c r="AA62" s="26"/>
      <c r="AB62" s="22"/>
      <c r="AC62" s="22"/>
      <c r="AD62" s="22"/>
      <c r="AE62" s="22"/>
      <c r="AF62" s="27">
        <f t="shared" si="14"/>
        <v>1109.7</v>
      </c>
      <c r="AG62" s="22">
        <f t="shared" si="15"/>
        <v>376.5999999999999</v>
      </c>
    </row>
    <row r="63" spans="1:34" ht="15.75">
      <c r="A63" s="3" t="s">
        <v>5</v>
      </c>
      <c r="B63" s="22">
        <v>767.9</v>
      </c>
      <c r="C63" s="22"/>
      <c r="D63" s="22"/>
      <c r="E63" s="22"/>
      <c r="F63" s="22"/>
      <c r="G63" s="22"/>
      <c r="H63" s="22"/>
      <c r="I63" s="22"/>
      <c r="J63" s="26"/>
      <c r="K63" s="22"/>
      <c r="L63" s="22">
        <v>298.5</v>
      </c>
      <c r="M63" s="22"/>
      <c r="N63" s="22"/>
      <c r="O63" s="27"/>
      <c r="P63" s="22"/>
      <c r="Q63" s="27"/>
      <c r="R63" s="22"/>
      <c r="S63" s="26"/>
      <c r="T63" s="26"/>
      <c r="U63" s="26">
        <v>423.7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722.2</v>
      </c>
      <c r="AG63" s="22">
        <f t="shared" si="15"/>
        <v>45.69999999999993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21.8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>
        <v>2.1</v>
      </c>
      <c r="U65" s="26"/>
      <c r="V65" s="26"/>
      <c r="W65" s="26">
        <v>1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3.1</v>
      </c>
      <c r="AG65" s="22">
        <f t="shared" si="15"/>
        <v>18.7</v>
      </c>
      <c r="AH65" s="6"/>
    </row>
    <row r="66" spans="1:33" ht="15.75">
      <c r="A66" s="3" t="s">
        <v>2</v>
      </c>
      <c r="B66" s="22">
        <v>186</v>
      </c>
      <c r="C66" s="22"/>
      <c r="D66" s="22"/>
      <c r="E66" s="22"/>
      <c r="F66" s="22"/>
      <c r="G66" s="22"/>
      <c r="H66" s="22"/>
      <c r="I66" s="22"/>
      <c r="J66" s="26"/>
      <c r="K66" s="22">
        <v>7.6</v>
      </c>
      <c r="L66" s="22"/>
      <c r="M66" s="22">
        <v>85.1</v>
      </c>
      <c r="N66" s="22"/>
      <c r="O66" s="27"/>
      <c r="P66" s="22">
        <v>28.4</v>
      </c>
      <c r="Q66" s="22"/>
      <c r="R66" s="22"/>
      <c r="S66" s="26"/>
      <c r="T66" s="26">
        <v>14.4</v>
      </c>
      <c r="U66" s="26"/>
      <c r="V66" s="26"/>
      <c r="W66" s="26">
        <v>0.1</v>
      </c>
      <c r="X66" s="22">
        <v>8.5</v>
      </c>
      <c r="Y66" s="26"/>
      <c r="Z66" s="26"/>
      <c r="AA66" s="26"/>
      <c r="AB66" s="22"/>
      <c r="AC66" s="22"/>
      <c r="AD66" s="22"/>
      <c r="AE66" s="22"/>
      <c r="AF66" s="27">
        <f t="shared" si="14"/>
        <v>144.1</v>
      </c>
      <c r="AG66" s="22">
        <f t="shared" si="15"/>
        <v>41.900000000000006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510.59999999999997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8.9</v>
      </c>
      <c r="L68" s="22">
        <f t="shared" si="16"/>
        <v>61.30000000000001</v>
      </c>
      <c r="M68" s="22">
        <f t="shared" si="16"/>
        <v>16.30000000000001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0.8999999999999981</v>
      </c>
      <c r="U68" s="22">
        <f t="shared" si="16"/>
        <v>0</v>
      </c>
      <c r="V68" s="22">
        <f t="shared" si="16"/>
        <v>90.6</v>
      </c>
      <c r="W68" s="22">
        <f t="shared" si="16"/>
        <v>33.8</v>
      </c>
      <c r="X68" s="22">
        <f t="shared" si="16"/>
        <v>28.5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240.3</v>
      </c>
      <c r="AG68" s="22">
        <f>AG62-AG63-AG66-AG67-AG65-AG64</f>
        <v>270.3</v>
      </c>
    </row>
    <row r="69" spans="1:33" ht="31.5">
      <c r="A69" s="4" t="s">
        <v>32</v>
      </c>
      <c r="B69" s="22">
        <v>3794.5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>
        <v>3776</v>
      </c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3776</v>
      </c>
      <c r="AG69" s="30">
        <f aca="true" t="shared" si="17" ref="AG69:AG92">B69+C69-AF69</f>
        <v>18.5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169.6</v>
      </c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169.6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957.8</v>
      </c>
      <c r="C72" s="22"/>
      <c r="D72" s="22"/>
      <c r="E72" s="22"/>
      <c r="F72" s="22">
        <v>187.5</v>
      </c>
      <c r="G72" s="22">
        <v>0.8</v>
      </c>
      <c r="H72" s="22"/>
      <c r="I72" s="22"/>
      <c r="J72" s="26"/>
      <c r="K72" s="22">
        <v>20.2</v>
      </c>
      <c r="L72" s="22">
        <v>0.9</v>
      </c>
      <c r="M72" s="22"/>
      <c r="N72" s="22"/>
      <c r="O72" s="22">
        <v>0.3</v>
      </c>
      <c r="P72" s="22"/>
      <c r="Q72" s="27"/>
      <c r="R72" s="22">
        <v>17.8</v>
      </c>
      <c r="S72" s="26">
        <v>3</v>
      </c>
      <c r="T72" s="26"/>
      <c r="U72" s="26"/>
      <c r="V72" s="26">
        <v>125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355.5</v>
      </c>
      <c r="AG72" s="30">
        <f t="shared" si="17"/>
        <v>602.3</v>
      </c>
    </row>
    <row r="73" spans="1:33" ht="15" customHeight="1">
      <c r="A73" s="3" t="s">
        <v>5</v>
      </c>
      <c r="B73" s="22">
        <v>16.8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>
        <v>16.8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f>143.7+62.1</f>
        <v>205.79999999999998</v>
      </c>
      <c r="C74" s="22"/>
      <c r="D74" s="22"/>
      <c r="E74" s="22"/>
      <c r="F74" s="22">
        <v>142.7</v>
      </c>
      <c r="G74" s="22"/>
      <c r="H74" s="22"/>
      <c r="I74" s="22"/>
      <c r="J74" s="26"/>
      <c r="K74" s="22"/>
      <c r="L74" s="22">
        <v>0.9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143.6</v>
      </c>
      <c r="AG74" s="30">
        <f t="shared" si="17"/>
        <v>62.19999999999999</v>
      </c>
    </row>
    <row r="75" spans="1:33" ht="15" customHeight="1">
      <c r="A75" s="3" t="s">
        <v>17</v>
      </c>
      <c r="B75" s="22">
        <v>77.3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2.8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74.5</v>
      </c>
    </row>
    <row r="76" spans="1:33" s="11" customFormat="1" ht="31.5">
      <c r="A76" s="12" t="s">
        <v>21</v>
      </c>
      <c r="B76" s="22">
        <v>206.7</v>
      </c>
      <c r="C76" s="22"/>
      <c r="D76" s="22"/>
      <c r="E76" s="28"/>
      <c r="F76" s="28"/>
      <c r="G76" s="28"/>
      <c r="H76" s="28"/>
      <c r="I76" s="28"/>
      <c r="J76" s="29"/>
      <c r="K76" s="28"/>
      <c r="L76" s="28">
        <v>30.1</v>
      </c>
      <c r="M76" s="28"/>
      <c r="N76" s="28">
        <v>3.6</v>
      </c>
      <c r="O76" s="28"/>
      <c r="P76" s="28"/>
      <c r="Q76" s="31"/>
      <c r="R76" s="28">
        <v>8.6</v>
      </c>
      <c r="S76" s="29"/>
      <c r="T76" s="29"/>
      <c r="U76" s="28"/>
      <c r="V76" s="28">
        <v>42.3</v>
      </c>
      <c r="W76" s="28"/>
      <c r="X76" s="29">
        <v>0.1</v>
      </c>
      <c r="Y76" s="29"/>
      <c r="Z76" s="29"/>
      <c r="AA76" s="29"/>
      <c r="AB76" s="28"/>
      <c r="AC76" s="28"/>
      <c r="AD76" s="28"/>
      <c r="AE76" s="28"/>
      <c r="AF76" s="27">
        <f t="shared" si="14"/>
        <v>84.69999999999999</v>
      </c>
      <c r="AG76" s="30">
        <f t="shared" si="17"/>
        <v>122</v>
      </c>
    </row>
    <row r="77" spans="1:33" s="11" customFormat="1" ht="15.75">
      <c r="A77" s="3" t="s">
        <v>5</v>
      </c>
      <c r="B77" s="22">
        <v>72.9</v>
      </c>
      <c r="C77" s="22"/>
      <c r="D77" s="22"/>
      <c r="E77" s="28"/>
      <c r="F77" s="28"/>
      <c r="G77" s="28"/>
      <c r="H77" s="28"/>
      <c r="I77" s="28"/>
      <c r="J77" s="29"/>
      <c r="K77" s="28"/>
      <c r="L77" s="28">
        <v>30.1</v>
      </c>
      <c r="M77" s="28"/>
      <c r="N77" s="28"/>
      <c r="O77" s="28"/>
      <c r="P77" s="28"/>
      <c r="Q77" s="31"/>
      <c r="R77" s="28"/>
      <c r="S77" s="29"/>
      <c r="T77" s="29"/>
      <c r="U77" s="28"/>
      <c r="V77" s="28">
        <v>42.1</v>
      </c>
      <c r="W77" s="28"/>
      <c r="X77" s="29">
        <v>0.1</v>
      </c>
      <c r="Y77" s="29"/>
      <c r="Z77" s="29"/>
      <c r="AA77" s="29"/>
      <c r="AB77" s="28"/>
      <c r="AC77" s="28"/>
      <c r="AD77" s="28"/>
      <c r="AE77" s="28"/>
      <c r="AF77" s="27">
        <f t="shared" si="14"/>
        <v>72.3</v>
      </c>
      <c r="AG77" s="30">
        <f t="shared" si="17"/>
        <v>0.6000000000000085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15.3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>
        <v>8.6</v>
      </c>
      <c r="S80" s="29"/>
      <c r="T80" s="29"/>
      <c r="U80" s="28"/>
      <c r="V80" s="28">
        <v>0.2</v>
      </c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8.799999999999999</v>
      </c>
      <c r="AG80" s="30">
        <f t="shared" si="17"/>
        <v>6.500000000000002</v>
      </c>
    </row>
    <row r="81" spans="1:33" s="11" customFormat="1" ht="15.75">
      <c r="A81" s="12" t="s">
        <v>36</v>
      </c>
      <c r="B81" s="22">
        <v>2094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>
        <v>2094</v>
      </c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2094</v>
      </c>
      <c r="AG81" s="30">
        <f t="shared" si="17"/>
        <v>0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1299.9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>
        <v>55.6</v>
      </c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>
        <v>128.7</v>
      </c>
      <c r="Y89" s="26"/>
      <c r="Z89" s="26"/>
      <c r="AA89" s="26"/>
      <c r="AB89" s="22"/>
      <c r="AC89" s="22"/>
      <c r="AD89" s="22"/>
      <c r="AE89" s="22"/>
      <c r="AF89" s="27">
        <f t="shared" si="14"/>
        <v>184.29999999999998</v>
      </c>
      <c r="AG89" s="22">
        <f t="shared" si="17"/>
        <v>1115.6000000000001</v>
      </c>
      <c r="AH89" s="11"/>
    </row>
    <row r="90" spans="1:34" ht="15.75">
      <c r="A90" s="4" t="s">
        <v>42</v>
      </c>
      <c r="B90" s="22">
        <v>2416.8</v>
      </c>
      <c r="C90" s="22"/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/>
      <c r="R90" s="22">
        <v>805.6</v>
      </c>
      <c r="S90" s="26"/>
      <c r="T90" s="26"/>
      <c r="U90" s="22"/>
      <c r="V90" s="22"/>
      <c r="W90" s="22"/>
      <c r="X90" s="26">
        <v>805.6</v>
      </c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1666.7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1666.7</v>
      </c>
      <c r="AH91" s="11"/>
    </row>
    <row r="92" spans="1:34" ht="15.75">
      <c r="A92" s="4" t="s">
        <v>44</v>
      </c>
      <c r="B92" s="22">
        <v>26548.7</v>
      </c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>
        <v>26548.7</v>
      </c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26548.7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136437.9</v>
      </c>
      <c r="C94" s="42">
        <f t="shared" si="18"/>
        <v>0</v>
      </c>
      <c r="D94" s="42">
        <f t="shared" si="18"/>
        <v>1386.1</v>
      </c>
      <c r="E94" s="42">
        <f t="shared" si="18"/>
        <v>1016.6</v>
      </c>
      <c r="F94" s="42">
        <f t="shared" si="18"/>
        <v>3263.6</v>
      </c>
      <c r="G94" s="42">
        <f t="shared" si="18"/>
        <v>627.4</v>
      </c>
      <c r="H94" s="42">
        <f t="shared" si="18"/>
        <v>307.8</v>
      </c>
      <c r="I94" s="42">
        <f t="shared" si="18"/>
        <v>4017.1</v>
      </c>
      <c r="J94" s="42">
        <f t="shared" si="18"/>
        <v>79.4</v>
      </c>
      <c r="K94" s="42">
        <f t="shared" si="18"/>
        <v>3132.6</v>
      </c>
      <c r="L94" s="42">
        <f t="shared" si="18"/>
        <v>5489.7</v>
      </c>
      <c r="M94" s="42">
        <f t="shared" si="18"/>
        <v>12977.099999999999</v>
      </c>
      <c r="N94" s="42">
        <f t="shared" si="18"/>
        <v>183.79999999999998</v>
      </c>
      <c r="O94" s="42">
        <f t="shared" si="18"/>
        <v>28667.100000000002</v>
      </c>
      <c r="P94" s="42">
        <f t="shared" si="18"/>
        <v>3514.6</v>
      </c>
      <c r="Q94" s="42">
        <f t="shared" si="18"/>
        <v>8499.9</v>
      </c>
      <c r="R94" s="42">
        <f t="shared" si="18"/>
        <v>1901.5</v>
      </c>
      <c r="S94" s="42">
        <f t="shared" si="18"/>
        <v>4202.900000000001</v>
      </c>
      <c r="T94" s="42">
        <f t="shared" si="18"/>
        <v>10309.3</v>
      </c>
      <c r="U94" s="42">
        <f t="shared" si="18"/>
        <v>4934.9</v>
      </c>
      <c r="V94" s="42">
        <f t="shared" si="18"/>
        <v>13729.1</v>
      </c>
      <c r="W94" s="42">
        <f t="shared" si="18"/>
        <v>2813.8</v>
      </c>
      <c r="X94" s="42">
        <f t="shared" si="18"/>
        <v>1229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112283.29999999999</v>
      </c>
      <c r="AG94" s="58">
        <f>AG10+AG15+AG24+AG33+AG47+AG52+AG54+AG61+AG62+AG69+AG71+AG72+AG76+AG81+AG82+AG83+AG88+AG89+AG90+AG91+AG70+AG40+AG92</f>
        <v>24154.599999999995</v>
      </c>
    </row>
    <row r="95" spans="1:33" ht="15.75">
      <c r="A95" s="3" t="s">
        <v>5</v>
      </c>
      <c r="B95" s="22">
        <f aca="true" t="shared" si="19" ref="B95:AD95">B11+B17+B26+B34+B55+B63+B73+B41+B77+B48</f>
        <v>50096.70000000001</v>
      </c>
      <c r="C95" s="22">
        <f t="shared" si="19"/>
        <v>0</v>
      </c>
      <c r="D95" s="22">
        <f t="shared" si="19"/>
        <v>0</v>
      </c>
      <c r="E95" s="22">
        <f t="shared" si="19"/>
        <v>56.2</v>
      </c>
      <c r="F95" s="22">
        <f t="shared" si="19"/>
        <v>0</v>
      </c>
      <c r="G95" s="22">
        <f t="shared" si="19"/>
        <v>69.80000000000001</v>
      </c>
      <c r="H95" s="22">
        <f t="shared" si="19"/>
        <v>0</v>
      </c>
      <c r="I95" s="22">
        <f t="shared" si="19"/>
        <v>0</v>
      </c>
      <c r="J95" s="22">
        <f t="shared" si="19"/>
        <v>61.4</v>
      </c>
      <c r="K95" s="22">
        <f t="shared" si="19"/>
        <v>1730.4</v>
      </c>
      <c r="L95" s="22">
        <f t="shared" si="19"/>
        <v>5146.200000000001</v>
      </c>
      <c r="M95" s="22">
        <f t="shared" si="19"/>
        <v>11522.8</v>
      </c>
      <c r="N95" s="22">
        <f t="shared" si="19"/>
        <v>0</v>
      </c>
      <c r="O95" s="22">
        <f t="shared" si="19"/>
        <v>0.3</v>
      </c>
      <c r="P95" s="22">
        <f t="shared" si="19"/>
        <v>3348.6</v>
      </c>
      <c r="Q95" s="22">
        <f t="shared" si="19"/>
        <v>0.2</v>
      </c>
      <c r="R95" s="22">
        <f t="shared" si="19"/>
        <v>0</v>
      </c>
      <c r="S95" s="22">
        <f t="shared" si="19"/>
        <v>0</v>
      </c>
      <c r="T95" s="22">
        <f t="shared" si="19"/>
        <v>9555.400000000001</v>
      </c>
      <c r="U95" s="22">
        <f t="shared" si="19"/>
        <v>4510.299999999999</v>
      </c>
      <c r="V95" s="22">
        <f t="shared" si="19"/>
        <v>11033.3</v>
      </c>
      <c r="W95" s="22">
        <f t="shared" si="19"/>
        <v>582</v>
      </c>
      <c r="X95" s="22">
        <f t="shared" si="19"/>
        <v>0.1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47616.99999999999</v>
      </c>
      <c r="AG95" s="27">
        <f>B95+C95-AF95</f>
        <v>2479.700000000019</v>
      </c>
    </row>
    <row r="96" spans="1:33" ht="15.75">
      <c r="A96" s="3" t="s">
        <v>2</v>
      </c>
      <c r="B96" s="22">
        <f aca="true" t="shared" si="20" ref="B96:AD96">B12+B20+B29+B36+B57+B66+B44+B80+B74+B53</f>
        <v>23925.099999999995</v>
      </c>
      <c r="C96" s="22">
        <f t="shared" si="20"/>
        <v>0</v>
      </c>
      <c r="D96" s="22">
        <f t="shared" si="20"/>
        <v>467.59999999999997</v>
      </c>
      <c r="E96" s="22">
        <f t="shared" si="20"/>
        <v>432.3</v>
      </c>
      <c r="F96" s="22">
        <f t="shared" si="20"/>
        <v>2942.5</v>
      </c>
      <c r="G96" s="22">
        <f t="shared" si="20"/>
        <v>308.8</v>
      </c>
      <c r="H96" s="22">
        <f t="shared" si="20"/>
        <v>115.9</v>
      </c>
      <c r="I96" s="22">
        <f t="shared" si="20"/>
        <v>1.1</v>
      </c>
      <c r="J96" s="22">
        <f t="shared" si="20"/>
        <v>2.5</v>
      </c>
      <c r="K96" s="22">
        <f t="shared" si="20"/>
        <v>187.7</v>
      </c>
      <c r="L96" s="22">
        <f t="shared" si="20"/>
        <v>14.8</v>
      </c>
      <c r="M96" s="22">
        <f t="shared" si="20"/>
        <v>1284.4999999999998</v>
      </c>
      <c r="N96" s="22">
        <f t="shared" si="20"/>
        <v>47.1</v>
      </c>
      <c r="O96" s="22">
        <f t="shared" si="20"/>
        <v>0</v>
      </c>
      <c r="P96" s="22">
        <f t="shared" si="20"/>
        <v>29.2</v>
      </c>
      <c r="Q96" s="22">
        <f t="shared" si="20"/>
        <v>5662.7</v>
      </c>
      <c r="R96" s="22">
        <f t="shared" si="20"/>
        <v>8.6</v>
      </c>
      <c r="S96" s="22">
        <f t="shared" si="20"/>
        <v>214.10000000000002</v>
      </c>
      <c r="T96" s="22">
        <f t="shared" si="20"/>
        <v>213.89999999999998</v>
      </c>
      <c r="U96" s="22">
        <f t="shared" si="20"/>
        <v>35.8</v>
      </c>
      <c r="V96" s="22">
        <f t="shared" si="20"/>
        <v>279.09999999999997</v>
      </c>
      <c r="W96" s="22">
        <f t="shared" si="20"/>
        <v>997</v>
      </c>
      <c r="X96" s="22">
        <f t="shared" si="20"/>
        <v>47.4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13292.6</v>
      </c>
      <c r="AG96" s="27">
        <f>B96+C96-AF96</f>
        <v>10632.499999999995</v>
      </c>
    </row>
    <row r="97" spans="1:33" ht="15.75">
      <c r="A97" s="3" t="s">
        <v>3</v>
      </c>
      <c r="B97" s="22">
        <f aca="true" t="shared" si="21" ref="B97:AA97">B18+B27+B42+B64+B78</f>
        <v>1520.1</v>
      </c>
      <c r="C97" s="22">
        <f t="shared" si="21"/>
        <v>0</v>
      </c>
      <c r="D97" s="22">
        <f t="shared" si="21"/>
        <v>100</v>
      </c>
      <c r="E97" s="22">
        <f t="shared" si="21"/>
        <v>0</v>
      </c>
      <c r="F97" s="22">
        <f t="shared" si="21"/>
        <v>0</v>
      </c>
      <c r="G97" s="22">
        <f t="shared" si="21"/>
        <v>1.7</v>
      </c>
      <c r="H97" s="22">
        <f t="shared" si="21"/>
        <v>148.4</v>
      </c>
      <c r="I97" s="22">
        <f t="shared" si="21"/>
        <v>0</v>
      </c>
      <c r="J97" s="22">
        <f t="shared" si="21"/>
        <v>0</v>
      </c>
      <c r="K97" s="22">
        <f t="shared" si="21"/>
        <v>215.7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278.3</v>
      </c>
      <c r="R97" s="22">
        <f t="shared" si="21"/>
        <v>0</v>
      </c>
      <c r="S97" s="22">
        <f t="shared" si="21"/>
        <v>0</v>
      </c>
      <c r="T97" s="22">
        <f t="shared" si="21"/>
        <v>121.8</v>
      </c>
      <c r="U97" s="22">
        <f t="shared" si="21"/>
        <v>0</v>
      </c>
      <c r="V97" s="22">
        <f t="shared" si="21"/>
        <v>152.1</v>
      </c>
      <c r="W97" s="22">
        <f t="shared" si="21"/>
        <v>196.9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1214.9</v>
      </c>
      <c r="AG97" s="27">
        <f>B97+C97-AF97</f>
        <v>305.1999999999998</v>
      </c>
    </row>
    <row r="98" spans="1:33" ht="15.75">
      <c r="A98" s="3" t="s">
        <v>1</v>
      </c>
      <c r="B98" s="22">
        <f aca="true" t="shared" si="22" ref="B98:AD98">B19+B28+B65+B35+B43+B56+B79</f>
        <v>5247.099999999999</v>
      </c>
      <c r="C98" s="22">
        <f t="shared" si="22"/>
        <v>0</v>
      </c>
      <c r="D98" s="22">
        <f t="shared" si="22"/>
        <v>115.9</v>
      </c>
      <c r="E98" s="22">
        <f t="shared" si="22"/>
        <v>0</v>
      </c>
      <c r="F98" s="22">
        <f t="shared" si="22"/>
        <v>196.4</v>
      </c>
      <c r="G98" s="22">
        <f t="shared" si="22"/>
        <v>71.6</v>
      </c>
      <c r="H98" s="22">
        <f t="shared" si="22"/>
        <v>2.9</v>
      </c>
      <c r="I98" s="22">
        <f t="shared" si="22"/>
        <v>0</v>
      </c>
      <c r="J98" s="22">
        <f t="shared" si="22"/>
        <v>0.2</v>
      </c>
      <c r="K98" s="22">
        <f t="shared" si="22"/>
        <v>68.3</v>
      </c>
      <c r="L98" s="22">
        <f t="shared" si="22"/>
        <v>0</v>
      </c>
      <c r="M98" s="22">
        <f t="shared" si="22"/>
        <v>68.7</v>
      </c>
      <c r="N98" s="22">
        <f t="shared" si="22"/>
        <v>0</v>
      </c>
      <c r="O98" s="22">
        <f t="shared" si="22"/>
        <v>0</v>
      </c>
      <c r="P98" s="22">
        <f t="shared" si="22"/>
        <v>88.3</v>
      </c>
      <c r="Q98" s="22">
        <f t="shared" si="22"/>
        <v>78.1</v>
      </c>
      <c r="R98" s="22">
        <f t="shared" si="22"/>
        <v>0.1</v>
      </c>
      <c r="S98" s="22">
        <f t="shared" si="22"/>
        <v>55.3</v>
      </c>
      <c r="T98" s="22">
        <f t="shared" si="22"/>
        <v>77.49999999999999</v>
      </c>
      <c r="U98" s="22">
        <f t="shared" si="22"/>
        <v>145.1</v>
      </c>
      <c r="V98" s="22">
        <f t="shared" si="22"/>
        <v>711.4</v>
      </c>
      <c r="W98" s="22">
        <f t="shared" si="22"/>
        <v>626.6</v>
      </c>
      <c r="X98" s="22">
        <f t="shared" si="22"/>
        <v>89.3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2395.7000000000003</v>
      </c>
      <c r="AG98" s="27">
        <f>B98+C98-AF98</f>
        <v>2851.399999999999</v>
      </c>
    </row>
    <row r="99" spans="1:33" ht="15.75">
      <c r="A99" s="3" t="s">
        <v>17</v>
      </c>
      <c r="B99" s="22">
        <f aca="true" t="shared" si="23" ref="B99:AD99">B21+B30+B49+B37+B58+B13+B75</f>
        <v>3658.0000000000005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2</v>
      </c>
      <c r="G99" s="22">
        <f t="shared" si="23"/>
        <v>2.4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2.5</v>
      </c>
      <c r="L99" s="22">
        <f t="shared" si="23"/>
        <v>38.7</v>
      </c>
      <c r="M99" s="22">
        <f t="shared" si="23"/>
        <v>3.8</v>
      </c>
      <c r="N99" s="22">
        <f t="shared" si="23"/>
        <v>40</v>
      </c>
      <c r="O99" s="22">
        <f t="shared" si="23"/>
        <v>0</v>
      </c>
      <c r="P99" s="22">
        <f t="shared" si="23"/>
        <v>0</v>
      </c>
      <c r="Q99" s="22">
        <f t="shared" si="23"/>
        <v>1387.8999999999996</v>
      </c>
      <c r="R99" s="22">
        <f t="shared" si="23"/>
        <v>160.8</v>
      </c>
      <c r="S99" s="22">
        <f t="shared" si="23"/>
        <v>126.5</v>
      </c>
      <c r="T99" s="22">
        <f t="shared" si="23"/>
        <v>241</v>
      </c>
      <c r="U99" s="22">
        <f t="shared" si="23"/>
        <v>218.1</v>
      </c>
      <c r="V99" s="22">
        <f t="shared" si="23"/>
        <v>410.7</v>
      </c>
      <c r="W99" s="22">
        <f t="shared" si="23"/>
        <v>277.6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2911.9999999999995</v>
      </c>
      <c r="AG99" s="27">
        <f>B99+C99-AF99</f>
        <v>746.0000000000009</v>
      </c>
    </row>
    <row r="100" spans="1:33" ht="12.75">
      <c r="A100" s="1" t="s">
        <v>41</v>
      </c>
      <c r="B100" s="2">
        <f aca="true" t="shared" si="24" ref="B100:U100">B94-B95-B96-B97-B98-B99</f>
        <v>51990.899999999994</v>
      </c>
      <c r="C100" s="2">
        <f t="shared" si="24"/>
        <v>0</v>
      </c>
      <c r="D100" s="2">
        <f t="shared" si="24"/>
        <v>702.6</v>
      </c>
      <c r="E100" s="2">
        <f t="shared" si="24"/>
        <v>528.0999999999999</v>
      </c>
      <c r="F100" s="2">
        <f t="shared" si="24"/>
        <v>122.6999999999999</v>
      </c>
      <c r="G100" s="2">
        <f t="shared" si="24"/>
        <v>173.0999999999999</v>
      </c>
      <c r="H100" s="2">
        <f t="shared" si="24"/>
        <v>40.6</v>
      </c>
      <c r="I100" s="2">
        <f t="shared" si="24"/>
        <v>4016</v>
      </c>
      <c r="J100" s="2">
        <f t="shared" si="24"/>
        <v>15.300000000000008</v>
      </c>
      <c r="K100" s="2">
        <f t="shared" si="24"/>
        <v>927.9999999999998</v>
      </c>
      <c r="L100" s="2">
        <f t="shared" si="24"/>
        <v>289.9999999999991</v>
      </c>
      <c r="M100" s="2">
        <f t="shared" si="24"/>
        <v>97.2999999999995</v>
      </c>
      <c r="N100" s="2">
        <f t="shared" si="24"/>
        <v>96.69999999999999</v>
      </c>
      <c r="O100" s="2">
        <f t="shared" si="24"/>
        <v>28666.800000000003</v>
      </c>
      <c r="P100" s="2">
        <f t="shared" si="24"/>
        <v>48.500000000000014</v>
      </c>
      <c r="Q100" s="2">
        <f t="shared" si="24"/>
        <v>1092.6999999999994</v>
      </c>
      <c r="R100" s="2">
        <f t="shared" si="24"/>
        <v>1732.0000000000002</v>
      </c>
      <c r="S100" s="2">
        <f t="shared" si="24"/>
        <v>3807.0000000000005</v>
      </c>
      <c r="T100" s="2">
        <f t="shared" si="24"/>
        <v>99.69999999999783</v>
      </c>
      <c r="U100" s="2">
        <f t="shared" si="24"/>
        <v>25.600000000000364</v>
      </c>
      <c r="V100" s="2"/>
      <c r="W100" s="2"/>
      <c r="X100" s="2">
        <f aca="true" t="shared" si="25" ref="X100:AD100">X94-X95-X96-X97-X98-X99</f>
        <v>1092.2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44851.1</v>
      </c>
      <c r="AG100" s="2">
        <f>AG94-AG95-AG96-AG97-AG98-AG99</f>
        <v>7139.799999999982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L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6" sqref="AF1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57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56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9</v>
      </c>
      <c r="I4" s="8">
        <v>10</v>
      </c>
      <c r="J4" s="19">
        <v>11</v>
      </c>
      <c r="K4" s="8">
        <v>12</v>
      </c>
      <c r="L4" s="8">
        <v>14</v>
      </c>
      <c r="M4" s="8">
        <v>15</v>
      </c>
      <c r="N4" s="8">
        <v>16</v>
      </c>
      <c r="O4" s="8">
        <v>17</v>
      </c>
      <c r="P4" s="8">
        <v>18</v>
      </c>
      <c r="Q4" s="8">
        <v>21</v>
      </c>
      <c r="R4" s="8">
        <v>22</v>
      </c>
      <c r="S4" s="19">
        <v>23</v>
      </c>
      <c r="T4" s="19">
        <v>24</v>
      </c>
      <c r="U4" s="8">
        <v>25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41" t="s">
        <v>51</v>
      </c>
      <c r="B5" s="72">
        <f>SUM(C5:AB5)</f>
        <v>907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>
        <v>907</v>
      </c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7544.1</v>
      </c>
      <c r="D7" s="45"/>
      <c r="E7" s="46">
        <v>14369.6</v>
      </c>
      <c r="F7" s="46"/>
      <c r="G7" s="46"/>
      <c r="H7" s="74"/>
      <c r="I7" s="46"/>
      <c r="J7" s="47"/>
      <c r="K7" s="46">
        <v>14369.5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8531.8</v>
      </c>
      <c r="AF7" s="72"/>
      <c r="AG7" s="48"/>
    </row>
    <row r="8" spans="1:55" ht="18" customHeight="1">
      <c r="A8" s="60" t="s">
        <v>34</v>
      </c>
      <c r="B8" s="40">
        <f>SUM(D8:AB8)</f>
        <v>84919.4</v>
      </c>
      <c r="C8" s="40">
        <v>155287.2</v>
      </c>
      <c r="D8" s="43">
        <v>13464</v>
      </c>
      <c r="E8" s="55">
        <v>5681.6</v>
      </c>
      <c r="F8" s="55">
        <v>1553.1</v>
      </c>
      <c r="G8" s="55">
        <v>1810</v>
      </c>
      <c r="H8" s="55">
        <v>9190.3</v>
      </c>
      <c r="I8" s="55">
        <v>2413.8</v>
      </c>
      <c r="J8" s="56">
        <v>1430.2</v>
      </c>
      <c r="K8" s="55">
        <v>1328.2</v>
      </c>
      <c r="L8" s="55">
        <v>1094.2</v>
      </c>
      <c r="M8" s="55">
        <v>2323.3</v>
      </c>
      <c r="N8" s="55">
        <v>3852.6</v>
      </c>
      <c r="O8" s="55">
        <v>2209.2</v>
      </c>
      <c r="P8" s="55">
        <v>1723.1</v>
      </c>
      <c r="Q8" s="55">
        <v>3816.3</v>
      </c>
      <c r="R8" s="55">
        <f>2608.5-3.2</f>
        <v>2605.3</v>
      </c>
      <c r="S8" s="57">
        <v>2385.2</v>
      </c>
      <c r="T8" s="57">
        <v>1903.3</v>
      </c>
      <c r="U8" s="55">
        <v>1653.6</v>
      </c>
      <c r="V8" s="55">
        <f>2623.1-8</f>
        <v>2615.1</v>
      </c>
      <c r="W8" s="55">
        <v>5100.4</v>
      </c>
      <c r="X8" s="56">
        <v>9190.1</v>
      </c>
      <c r="Y8" s="56">
        <v>7576.5</v>
      </c>
      <c r="Z8" s="56"/>
      <c r="AA8" s="56"/>
      <c r="AB8" s="55"/>
      <c r="AC8" s="23"/>
      <c r="AD8" s="23"/>
      <c r="AE8" s="61">
        <v>169171.4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106158.40000000002</v>
      </c>
      <c r="C9" s="24">
        <f t="shared" si="0"/>
        <v>24154.599999999995</v>
      </c>
      <c r="D9" s="24">
        <f t="shared" si="0"/>
        <v>1841.3000000000002</v>
      </c>
      <c r="E9" s="24">
        <f t="shared" si="0"/>
        <v>1577.3</v>
      </c>
      <c r="F9" s="24">
        <f t="shared" si="0"/>
        <v>2375.8999999999996</v>
      </c>
      <c r="G9" s="24">
        <f t="shared" si="0"/>
        <v>133.3</v>
      </c>
      <c r="H9" s="24">
        <f t="shared" si="0"/>
        <v>2923</v>
      </c>
      <c r="I9" s="24">
        <f t="shared" si="0"/>
        <v>3589.3</v>
      </c>
      <c r="J9" s="24">
        <f t="shared" si="0"/>
        <v>13696</v>
      </c>
      <c r="K9" s="24">
        <f t="shared" si="0"/>
        <v>10825.7</v>
      </c>
      <c r="L9" s="24">
        <f t="shared" si="0"/>
        <v>2187</v>
      </c>
      <c r="M9" s="24">
        <f t="shared" si="0"/>
        <v>667.4</v>
      </c>
      <c r="N9" s="24">
        <f t="shared" si="0"/>
        <v>0</v>
      </c>
      <c r="O9" s="24">
        <f t="shared" si="0"/>
        <v>4293</v>
      </c>
      <c r="P9" s="24">
        <f t="shared" si="0"/>
        <v>1701.8000000000002</v>
      </c>
      <c r="Q9" s="24">
        <f t="shared" si="0"/>
        <v>359.3</v>
      </c>
      <c r="R9" s="24">
        <f t="shared" si="0"/>
        <v>8325.3</v>
      </c>
      <c r="S9" s="24">
        <f t="shared" si="0"/>
        <v>5633.1</v>
      </c>
      <c r="T9" s="24">
        <f t="shared" si="0"/>
        <v>7342.200000000001</v>
      </c>
      <c r="U9" s="24">
        <f t="shared" si="0"/>
        <v>10226.800000000001</v>
      </c>
      <c r="V9" s="24">
        <f t="shared" si="0"/>
        <v>4204.3</v>
      </c>
      <c r="W9" s="24">
        <f t="shared" si="0"/>
        <v>4036.2</v>
      </c>
      <c r="X9" s="24">
        <f t="shared" si="0"/>
        <v>8733.699999999999</v>
      </c>
      <c r="Y9" s="24">
        <f t="shared" si="0"/>
        <v>5021.7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99693.60000000003</v>
      </c>
      <c r="AG9" s="50">
        <f>AG10+AG15+AG24+AG33+AG47+AG52+AG54+AG61+AG62+AG71+AG72+AG76+AG88+AG81+AG83+AG82+AG69+AG89+AG91+AG90+AG70+AG40+AG92</f>
        <v>30619.400000000012</v>
      </c>
      <c r="AH9" s="49"/>
      <c r="AI9" s="49"/>
    </row>
    <row r="10" spans="1:33" ht="15.75">
      <c r="A10" s="4" t="s">
        <v>4</v>
      </c>
      <c r="B10" s="22">
        <f>5200.3+1761.2-0.2</f>
        <v>6961.3</v>
      </c>
      <c r="C10" s="22">
        <v>1187.9</v>
      </c>
      <c r="D10" s="22">
        <v>96.1</v>
      </c>
      <c r="E10" s="22">
        <v>234.6</v>
      </c>
      <c r="F10" s="22">
        <v>88.5</v>
      </c>
      <c r="G10" s="22">
        <v>23.1</v>
      </c>
      <c r="H10" s="22">
        <v>1.9</v>
      </c>
      <c r="I10" s="22">
        <v>3.2</v>
      </c>
      <c r="J10" s="25">
        <v>309.4</v>
      </c>
      <c r="K10" s="22">
        <v>1005.9</v>
      </c>
      <c r="L10" s="22">
        <v>308.4</v>
      </c>
      <c r="M10" s="22">
        <v>76.4</v>
      </c>
      <c r="N10" s="22"/>
      <c r="O10" s="27">
        <v>99.1</v>
      </c>
      <c r="P10" s="22">
        <v>22.5</v>
      </c>
      <c r="Q10" s="22">
        <v>5.7</v>
      </c>
      <c r="R10" s="22">
        <v>16.3</v>
      </c>
      <c r="S10" s="26">
        <v>42.4</v>
      </c>
      <c r="T10" s="26">
        <v>253.7</v>
      </c>
      <c r="U10" s="26">
        <v>364.6</v>
      </c>
      <c r="V10" s="26">
        <v>683.2</v>
      </c>
      <c r="W10" s="26">
        <v>573.3</v>
      </c>
      <c r="X10" s="22">
        <v>2059.7</v>
      </c>
      <c r="Y10" s="27">
        <v>6.4</v>
      </c>
      <c r="Z10" s="26"/>
      <c r="AA10" s="26"/>
      <c r="AB10" s="22"/>
      <c r="AC10" s="22"/>
      <c r="AD10" s="22"/>
      <c r="AE10" s="22"/>
      <c r="AF10" s="22">
        <f aca="true" t="shared" si="1" ref="AF10:AF41">SUM(D10:AD10)</f>
        <v>6274.4</v>
      </c>
      <c r="AG10" s="27">
        <f>B10+C10-AF10</f>
        <v>1874.800000000001</v>
      </c>
    </row>
    <row r="11" spans="1:33" ht="15.75">
      <c r="A11" s="3" t="s">
        <v>5</v>
      </c>
      <c r="B11" s="22">
        <f>4248.2-48.1+1725.5+0.2</f>
        <v>5925.799999999999</v>
      </c>
      <c r="C11" s="22">
        <v>360.2</v>
      </c>
      <c r="D11" s="22">
        <v>29</v>
      </c>
      <c r="E11" s="22">
        <v>142.9</v>
      </c>
      <c r="F11" s="22">
        <v>14.9</v>
      </c>
      <c r="G11" s="22"/>
      <c r="H11" s="22">
        <v>1.9</v>
      </c>
      <c r="I11" s="22"/>
      <c r="J11" s="26">
        <v>241.9</v>
      </c>
      <c r="K11" s="22">
        <v>972.3</v>
      </c>
      <c r="L11" s="22">
        <v>146.3</v>
      </c>
      <c r="M11" s="22"/>
      <c r="N11" s="22"/>
      <c r="O11" s="27">
        <v>19.4</v>
      </c>
      <c r="P11" s="22"/>
      <c r="Q11" s="22">
        <v>5.4</v>
      </c>
      <c r="R11" s="22">
        <v>12.1</v>
      </c>
      <c r="S11" s="26"/>
      <c r="T11" s="26">
        <v>245.6</v>
      </c>
      <c r="U11" s="26">
        <v>356.2</v>
      </c>
      <c r="V11" s="26">
        <v>677.7</v>
      </c>
      <c r="W11" s="26">
        <v>532.7</v>
      </c>
      <c r="X11" s="22">
        <v>2059.5</v>
      </c>
      <c r="Y11" s="26"/>
      <c r="Z11" s="26"/>
      <c r="AA11" s="26"/>
      <c r="AB11" s="22"/>
      <c r="AC11" s="22"/>
      <c r="AD11" s="22"/>
      <c r="AE11" s="22"/>
      <c r="AF11" s="22">
        <f t="shared" si="1"/>
        <v>5457.8</v>
      </c>
      <c r="AG11" s="27">
        <f>B11+C11-AF11</f>
        <v>828.1999999999989</v>
      </c>
    </row>
    <row r="12" spans="1:33" ht="15.75">
      <c r="A12" s="3" t="s">
        <v>2</v>
      </c>
      <c r="B12" s="36">
        <f>367.8-1.2-0.2</f>
        <v>366.40000000000003</v>
      </c>
      <c r="C12" s="22">
        <v>408.7</v>
      </c>
      <c r="D12" s="22"/>
      <c r="E12" s="22">
        <v>50.2</v>
      </c>
      <c r="F12" s="22">
        <v>30</v>
      </c>
      <c r="G12" s="22">
        <v>1.4</v>
      </c>
      <c r="H12" s="22"/>
      <c r="I12" s="22">
        <v>1.1</v>
      </c>
      <c r="J12" s="26"/>
      <c r="K12" s="22">
        <v>18.1</v>
      </c>
      <c r="L12" s="22">
        <v>138.1</v>
      </c>
      <c r="M12" s="22">
        <v>43.8</v>
      </c>
      <c r="N12" s="22"/>
      <c r="O12" s="27"/>
      <c r="P12" s="22"/>
      <c r="Q12" s="22"/>
      <c r="R12" s="22">
        <v>4.2</v>
      </c>
      <c r="S12" s="26">
        <v>9.3</v>
      </c>
      <c r="T12" s="26"/>
      <c r="U12" s="26"/>
      <c r="V12" s="26"/>
      <c r="W12" s="26">
        <v>27.5</v>
      </c>
      <c r="X12" s="22"/>
      <c r="Y12" s="26">
        <v>5.8</v>
      </c>
      <c r="Z12" s="26"/>
      <c r="AA12" s="26"/>
      <c r="AB12" s="22"/>
      <c r="AC12" s="22"/>
      <c r="AD12" s="22"/>
      <c r="AE12" s="22"/>
      <c r="AF12" s="22">
        <f t="shared" si="1"/>
        <v>329.5</v>
      </c>
      <c r="AG12" s="27">
        <f>B12+C12-AF12</f>
        <v>445.6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>B10-B11-B12-B13</f>
        <v>669.1000000000008</v>
      </c>
      <c r="C14" s="22">
        <f>C10-C11-C12-C13</f>
        <v>419.00000000000006</v>
      </c>
      <c r="D14" s="22">
        <f aca="true" t="shared" si="2" ref="D14:Y14">D10-D11-D12-D13</f>
        <v>67.1</v>
      </c>
      <c r="E14" s="22">
        <f t="shared" si="2"/>
        <v>41.499999999999986</v>
      </c>
      <c r="F14" s="22">
        <f t="shared" si="2"/>
        <v>43.599999999999994</v>
      </c>
      <c r="G14" s="22">
        <f t="shared" si="2"/>
        <v>21.700000000000003</v>
      </c>
      <c r="H14" s="22">
        <f t="shared" si="2"/>
        <v>0</v>
      </c>
      <c r="I14" s="22">
        <f t="shared" si="2"/>
        <v>2.1</v>
      </c>
      <c r="J14" s="22">
        <f t="shared" si="2"/>
        <v>67.49999999999997</v>
      </c>
      <c r="K14" s="22">
        <f t="shared" si="2"/>
        <v>15.500000000000021</v>
      </c>
      <c r="L14" s="22">
        <f t="shared" si="2"/>
        <v>23.99999999999997</v>
      </c>
      <c r="M14" s="22">
        <f t="shared" si="2"/>
        <v>32.60000000000001</v>
      </c>
      <c r="N14" s="22">
        <f t="shared" si="2"/>
        <v>0</v>
      </c>
      <c r="O14" s="22">
        <f t="shared" si="2"/>
        <v>79.69999999999999</v>
      </c>
      <c r="P14" s="22">
        <f t="shared" si="2"/>
        <v>22.5</v>
      </c>
      <c r="Q14" s="22">
        <f t="shared" si="2"/>
        <v>0.2999999999999998</v>
      </c>
      <c r="R14" s="22">
        <f t="shared" si="2"/>
        <v>8.881784197001252E-16</v>
      </c>
      <c r="S14" s="22">
        <f t="shared" si="2"/>
        <v>33.099999999999994</v>
      </c>
      <c r="T14" s="22">
        <f t="shared" si="2"/>
        <v>8.099999999999994</v>
      </c>
      <c r="U14" s="22">
        <f t="shared" si="2"/>
        <v>8.400000000000034</v>
      </c>
      <c r="V14" s="22">
        <f t="shared" si="2"/>
        <v>5.5</v>
      </c>
      <c r="W14" s="22">
        <f t="shared" si="2"/>
        <v>13.099999999999909</v>
      </c>
      <c r="X14" s="22">
        <f t="shared" si="2"/>
        <v>0.1999999999998181</v>
      </c>
      <c r="Y14" s="22">
        <f t="shared" si="2"/>
        <v>0.6000000000000005</v>
      </c>
      <c r="Z14" s="22"/>
      <c r="AA14" s="22"/>
      <c r="AB14" s="22"/>
      <c r="AC14" s="22"/>
      <c r="AD14" s="22"/>
      <c r="AE14" s="22"/>
      <c r="AF14" s="27">
        <f t="shared" si="1"/>
        <v>487.09999999999974</v>
      </c>
      <c r="AG14" s="27">
        <f>AG10-AG11-AG12-AG13</f>
        <v>601.0000000000022</v>
      </c>
    </row>
    <row r="15" spans="1:33" ht="15" customHeight="1">
      <c r="A15" s="4" t="s">
        <v>6</v>
      </c>
      <c r="B15" s="22">
        <f>39804.3+24.3+25+188.4</f>
        <v>40042.00000000001</v>
      </c>
      <c r="C15" s="22">
        <v>14204.6</v>
      </c>
      <c r="D15" s="44">
        <v>283.5</v>
      </c>
      <c r="E15" s="44"/>
      <c r="F15" s="22">
        <v>1215.4</v>
      </c>
      <c r="G15" s="22"/>
      <c r="H15" s="22"/>
      <c r="I15" s="22">
        <v>0.6</v>
      </c>
      <c r="J15" s="26">
        <v>12639.1</v>
      </c>
      <c r="K15" s="22">
        <v>1592.4</v>
      </c>
      <c r="L15" s="22">
        <v>1725</v>
      </c>
      <c r="M15" s="22">
        <v>382.8</v>
      </c>
      <c r="N15" s="22"/>
      <c r="O15" s="27">
        <v>2437.5</v>
      </c>
      <c r="P15" s="22">
        <v>657.3</v>
      </c>
      <c r="Q15" s="27">
        <v>293</v>
      </c>
      <c r="R15" s="22">
        <v>1110.6</v>
      </c>
      <c r="S15" s="26">
        <v>319.6</v>
      </c>
      <c r="T15" s="26">
        <v>4653.1</v>
      </c>
      <c r="U15" s="26">
        <f>9123.2-7.9</f>
        <v>9115.300000000001</v>
      </c>
      <c r="V15" s="26">
        <v>2196.5</v>
      </c>
      <c r="W15" s="26">
        <v>1200.1</v>
      </c>
      <c r="X15" s="22">
        <v>555.2</v>
      </c>
      <c r="Y15" s="26">
        <v>54</v>
      </c>
      <c r="Z15" s="26"/>
      <c r="AA15" s="26"/>
      <c r="AB15" s="22"/>
      <c r="AC15" s="22"/>
      <c r="AD15" s="22"/>
      <c r="AE15" s="22"/>
      <c r="AF15" s="27">
        <f t="shared" si="1"/>
        <v>40430.99999999999</v>
      </c>
      <c r="AG15" s="27">
        <f aca="true" t="shared" si="3" ref="AG15:AG31">B15+C15-AF15</f>
        <v>13815.600000000013</v>
      </c>
    </row>
    <row r="16" spans="1:34" s="70" customFormat="1" ht="15" customHeight="1">
      <c r="A16" s="65" t="s">
        <v>46</v>
      </c>
      <c r="B16" s="66">
        <v>13610.5</v>
      </c>
      <c r="C16" s="66">
        <v>846.1</v>
      </c>
      <c r="D16" s="67"/>
      <c r="E16" s="67"/>
      <c r="F16" s="66">
        <v>583.7</v>
      </c>
      <c r="G16" s="66"/>
      <c r="H16" s="66"/>
      <c r="I16" s="66">
        <v>0.6</v>
      </c>
      <c r="J16" s="68">
        <v>6625.2</v>
      </c>
      <c r="K16" s="66">
        <v>702.1</v>
      </c>
      <c r="L16" s="66">
        <v>382.8</v>
      </c>
      <c r="M16" s="66">
        <v>87</v>
      </c>
      <c r="N16" s="66"/>
      <c r="O16" s="69">
        <v>367</v>
      </c>
      <c r="P16" s="66"/>
      <c r="Q16" s="69"/>
      <c r="R16" s="66">
        <v>343.9</v>
      </c>
      <c r="S16" s="68"/>
      <c r="T16" s="68">
        <v>3400.9</v>
      </c>
      <c r="U16" s="68">
        <v>728.9</v>
      </c>
      <c r="V16" s="68">
        <v>60.5</v>
      </c>
      <c r="W16" s="68">
        <v>24.4</v>
      </c>
      <c r="X16" s="66">
        <v>35.2</v>
      </c>
      <c r="Y16" s="68"/>
      <c r="Z16" s="68"/>
      <c r="AA16" s="68"/>
      <c r="AB16" s="66"/>
      <c r="AC16" s="66"/>
      <c r="AD16" s="66"/>
      <c r="AE16" s="66"/>
      <c r="AF16" s="71">
        <f t="shared" si="1"/>
        <v>13342.199999999999</v>
      </c>
      <c r="AG16" s="71">
        <f t="shared" si="3"/>
        <v>1114.4000000000015</v>
      </c>
      <c r="AH16" s="75"/>
    </row>
    <row r="17" spans="1:34" ht="15.75">
      <c r="A17" s="3" t="s">
        <v>5</v>
      </c>
      <c r="B17" s="22">
        <v>23685</v>
      </c>
      <c r="C17" s="22">
        <v>936.6</v>
      </c>
      <c r="D17" s="22"/>
      <c r="E17" s="22"/>
      <c r="F17" s="22">
        <v>7.2</v>
      </c>
      <c r="G17" s="22"/>
      <c r="H17" s="22"/>
      <c r="I17" s="22">
        <v>0.6</v>
      </c>
      <c r="J17" s="26">
        <v>10315.5</v>
      </c>
      <c r="K17" s="22"/>
      <c r="L17" s="22"/>
      <c r="M17" s="22"/>
      <c r="N17" s="22"/>
      <c r="O17" s="27"/>
      <c r="P17" s="22"/>
      <c r="Q17" s="27"/>
      <c r="R17" s="22">
        <v>1</v>
      </c>
      <c r="S17" s="26"/>
      <c r="T17" s="26">
        <v>3228.6</v>
      </c>
      <c r="U17" s="26">
        <v>8514.3</v>
      </c>
      <c r="V17" s="26">
        <v>1326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23393.199999999997</v>
      </c>
      <c r="AG17" s="27">
        <f t="shared" si="3"/>
        <v>1228.4000000000015</v>
      </c>
      <c r="AH17" s="6"/>
    </row>
    <row r="18" spans="1:33" ht="15.75">
      <c r="A18" s="3" t="s">
        <v>3</v>
      </c>
      <c r="B18" s="22">
        <v>4.2</v>
      </c>
      <c r="C18" s="22">
        <v>6.6</v>
      </c>
      <c r="D18" s="22"/>
      <c r="E18" s="22"/>
      <c r="F18" s="22"/>
      <c r="G18" s="22"/>
      <c r="H18" s="22"/>
      <c r="I18" s="22"/>
      <c r="J18" s="26">
        <v>2.9</v>
      </c>
      <c r="K18" s="22">
        <v>1.6</v>
      </c>
      <c r="L18" s="22"/>
      <c r="M18" s="22">
        <v>0.5</v>
      </c>
      <c r="N18" s="22"/>
      <c r="O18" s="27"/>
      <c r="P18" s="22"/>
      <c r="Q18" s="27"/>
      <c r="R18" s="22">
        <v>0.5</v>
      </c>
      <c r="S18" s="26"/>
      <c r="T18" s="26"/>
      <c r="U18" s="26"/>
      <c r="V18" s="26">
        <v>1.9</v>
      </c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7.4</v>
      </c>
      <c r="AG18" s="27">
        <f t="shared" si="3"/>
        <v>3.4000000000000004</v>
      </c>
    </row>
    <row r="19" spans="1:33" ht="15.75">
      <c r="A19" s="3" t="s">
        <v>1</v>
      </c>
      <c r="B19" s="22">
        <v>3857.3</v>
      </c>
      <c r="C19" s="22">
        <v>2826.4</v>
      </c>
      <c r="D19" s="22">
        <v>262.4</v>
      </c>
      <c r="E19" s="22"/>
      <c r="F19" s="22">
        <v>197</v>
      </c>
      <c r="G19" s="22"/>
      <c r="H19" s="22"/>
      <c r="I19" s="22"/>
      <c r="J19" s="26">
        <v>554.9</v>
      </c>
      <c r="K19" s="22">
        <v>204.6</v>
      </c>
      <c r="L19" s="22">
        <v>131</v>
      </c>
      <c r="M19" s="22">
        <v>84.2</v>
      </c>
      <c r="N19" s="22"/>
      <c r="O19" s="27">
        <v>167.8</v>
      </c>
      <c r="P19" s="22">
        <v>234</v>
      </c>
      <c r="Q19" s="27">
        <v>244.3</v>
      </c>
      <c r="R19" s="22">
        <v>224.6</v>
      </c>
      <c r="S19" s="26">
        <v>2.6</v>
      </c>
      <c r="T19" s="26">
        <v>720.8</v>
      </c>
      <c r="U19" s="26">
        <v>274.8</v>
      </c>
      <c r="V19" s="26">
        <v>196.9</v>
      </c>
      <c r="W19" s="26">
        <v>92.7</v>
      </c>
      <c r="X19" s="22">
        <v>302.2</v>
      </c>
      <c r="Y19" s="26">
        <v>54</v>
      </c>
      <c r="Z19" s="26"/>
      <c r="AA19" s="26"/>
      <c r="AB19" s="22"/>
      <c r="AC19" s="22"/>
      <c r="AD19" s="22"/>
      <c r="AE19" s="22"/>
      <c r="AF19" s="27">
        <f t="shared" si="1"/>
        <v>3948.7999999999997</v>
      </c>
      <c r="AG19" s="27">
        <f t="shared" si="3"/>
        <v>2734.900000000001</v>
      </c>
    </row>
    <row r="20" spans="1:33" ht="15.75">
      <c r="A20" s="3" t="s">
        <v>2</v>
      </c>
      <c r="B20" s="22">
        <v>9456.7</v>
      </c>
      <c r="C20" s="22">
        <v>8422.6</v>
      </c>
      <c r="D20" s="22">
        <v>13.6</v>
      </c>
      <c r="E20" s="22"/>
      <c r="F20" s="22">
        <v>960.9</v>
      </c>
      <c r="G20" s="22"/>
      <c r="H20" s="22"/>
      <c r="I20" s="22"/>
      <c r="J20" s="26">
        <v>1669.6</v>
      </c>
      <c r="K20" s="22">
        <v>874.3</v>
      </c>
      <c r="L20" s="22">
        <v>1539.2</v>
      </c>
      <c r="M20" s="22">
        <v>231.8</v>
      </c>
      <c r="N20" s="22"/>
      <c r="O20" s="27">
        <v>2136.6</v>
      </c>
      <c r="P20" s="22"/>
      <c r="Q20" s="27">
        <v>6.8</v>
      </c>
      <c r="R20" s="22">
        <v>729.7</v>
      </c>
      <c r="S20" s="26">
        <v>312.8</v>
      </c>
      <c r="T20" s="26">
        <v>219.9</v>
      </c>
      <c r="U20" s="26">
        <f>153.6-7.9</f>
        <v>145.7</v>
      </c>
      <c r="V20" s="26">
        <v>390.2</v>
      </c>
      <c r="W20" s="26">
        <v>1017.2</v>
      </c>
      <c r="X20" s="22">
        <v>39.8</v>
      </c>
      <c r="Y20" s="26"/>
      <c r="Z20" s="26"/>
      <c r="AA20" s="26"/>
      <c r="AB20" s="22"/>
      <c r="AC20" s="22"/>
      <c r="AD20" s="22"/>
      <c r="AE20" s="22"/>
      <c r="AF20" s="27">
        <f t="shared" si="1"/>
        <v>10288.1</v>
      </c>
      <c r="AG20" s="27">
        <f t="shared" si="3"/>
        <v>7591.200000000003</v>
      </c>
    </row>
    <row r="21" spans="1:33" ht="15.75">
      <c r="A21" s="3" t="s">
        <v>17</v>
      </c>
      <c r="B21" s="22">
        <v>1126.6</v>
      </c>
      <c r="C21" s="22">
        <v>403</v>
      </c>
      <c r="D21" s="22"/>
      <c r="E21" s="22"/>
      <c r="F21" s="22"/>
      <c r="G21" s="22"/>
      <c r="H21" s="22"/>
      <c r="I21" s="22"/>
      <c r="J21" s="26">
        <v>20.3</v>
      </c>
      <c r="K21" s="22">
        <v>413.8</v>
      </c>
      <c r="L21" s="22"/>
      <c r="M21" s="22"/>
      <c r="N21" s="22"/>
      <c r="O21" s="27">
        <v>8.3</v>
      </c>
      <c r="P21" s="22">
        <v>240.5</v>
      </c>
      <c r="Q21" s="27">
        <v>24.8</v>
      </c>
      <c r="R21" s="22">
        <v>2.5</v>
      </c>
      <c r="S21" s="26"/>
      <c r="T21" s="26">
        <v>338</v>
      </c>
      <c r="U21" s="22"/>
      <c r="V21" s="22"/>
      <c r="W21" s="22"/>
      <c r="X21" s="26">
        <v>212.8</v>
      </c>
      <c r="Y21" s="26"/>
      <c r="Z21" s="26"/>
      <c r="AA21" s="26"/>
      <c r="AB21" s="22"/>
      <c r="AC21" s="22"/>
      <c r="AD21" s="22"/>
      <c r="AE21" s="22"/>
      <c r="AF21" s="27">
        <f t="shared" si="1"/>
        <v>1261</v>
      </c>
      <c r="AG21" s="27">
        <f t="shared" si="3"/>
        <v>268.5999999999999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>B15-B17-B18-B19-B20-B21-B22</f>
        <v>1912.2000000000066</v>
      </c>
      <c r="C23" s="22">
        <f>C15-C17-C18-C19-C20-C21-C22</f>
        <v>1609.3999999999996</v>
      </c>
      <c r="D23" s="22">
        <f aca="true" t="shared" si="4" ref="D23:AD23">D15-D17-D18-D19-D20-D21-D22</f>
        <v>7.500000000000023</v>
      </c>
      <c r="E23" s="22">
        <f t="shared" si="4"/>
        <v>0</v>
      </c>
      <c r="F23" s="22">
        <f t="shared" si="4"/>
        <v>50.30000000000007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75.90000000000028</v>
      </c>
      <c r="K23" s="22">
        <f t="shared" si="4"/>
        <v>98.1000000000003</v>
      </c>
      <c r="L23" s="22">
        <f t="shared" si="4"/>
        <v>54.799999999999955</v>
      </c>
      <c r="M23" s="22">
        <f t="shared" si="4"/>
        <v>66.30000000000001</v>
      </c>
      <c r="N23" s="22">
        <f t="shared" si="4"/>
        <v>0</v>
      </c>
      <c r="O23" s="22">
        <f t="shared" si="4"/>
        <v>124.79999999999991</v>
      </c>
      <c r="P23" s="22">
        <f t="shared" si="4"/>
        <v>182.79999999999995</v>
      </c>
      <c r="Q23" s="22">
        <f t="shared" si="4"/>
        <v>17.09999999999999</v>
      </c>
      <c r="R23" s="22">
        <f t="shared" si="4"/>
        <v>152.29999999999984</v>
      </c>
      <c r="S23" s="22">
        <f t="shared" si="4"/>
        <v>4.199999999999989</v>
      </c>
      <c r="T23" s="22">
        <f t="shared" si="4"/>
        <v>145.80000000000052</v>
      </c>
      <c r="U23" s="22">
        <f t="shared" si="4"/>
        <v>180.50000000000182</v>
      </c>
      <c r="V23" s="22">
        <f t="shared" si="4"/>
        <v>281.50000000000006</v>
      </c>
      <c r="W23" s="22">
        <f t="shared" si="4"/>
        <v>90.19999999999982</v>
      </c>
      <c r="X23" s="22">
        <f t="shared" si="4"/>
        <v>0.4000000000000341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1532.5000000000027</v>
      </c>
      <c r="AG23" s="27">
        <f t="shared" si="3"/>
        <v>1989.1000000000035</v>
      </c>
    </row>
    <row r="24" spans="1:33" ht="15" customHeight="1">
      <c r="A24" s="4" t="s">
        <v>7</v>
      </c>
      <c r="B24" s="22">
        <f>21986.5+416.5+102-0.1</f>
        <v>22504.9</v>
      </c>
      <c r="C24" s="22">
        <v>2284.1</v>
      </c>
      <c r="D24" s="22"/>
      <c r="E24" s="22">
        <v>214</v>
      </c>
      <c r="F24" s="22">
        <v>265.2</v>
      </c>
      <c r="G24" s="22"/>
      <c r="H24" s="22">
        <v>269.5</v>
      </c>
      <c r="I24" s="22"/>
      <c r="J24" s="26">
        <v>0.5</v>
      </c>
      <c r="K24" s="22">
        <v>8027.1</v>
      </c>
      <c r="L24" s="22">
        <v>27.9</v>
      </c>
      <c r="M24" s="22"/>
      <c r="N24" s="22"/>
      <c r="O24" s="27">
        <v>93.7</v>
      </c>
      <c r="P24" s="22"/>
      <c r="Q24" s="27"/>
      <c r="R24" s="27">
        <v>5939.2</v>
      </c>
      <c r="S24" s="26">
        <v>5138.8</v>
      </c>
      <c r="T24" s="26">
        <v>56</v>
      </c>
      <c r="U24" s="26"/>
      <c r="V24" s="26">
        <v>477.3</v>
      </c>
      <c r="W24" s="26">
        <v>131.9</v>
      </c>
      <c r="X24" s="22">
        <v>9</v>
      </c>
      <c r="Y24" s="26"/>
      <c r="Z24" s="26"/>
      <c r="AA24" s="26"/>
      <c r="AB24" s="22"/>
      <c r="AC24" s="22"/>
      <c r="AD24" s="22"/>
      <c r="AE24" s="22"/>
      <c r="AF24" s="27">
        <f t="shared" si="1"/>
        <v>20650.100000000002</v>
      </c>
      <c r="AG24" s="27">
        <f t="shared" si="3"/>
        <v>4138.899999999998</v>
      </c>
    </row>
    <row r="25" spans="1:34" s="70" customFormat="1" ht="15" customHeight="1">
      <c r="A25" s="65" t="s">
        <v>47</v>
      </c>
      <c r="B25" s="66">
        <f>15128.6+102-0.1</f>
        <v>15230.5</v>
      </c>
      <c r="C25" s="66">
        <v>1593.4</v>
      </c>
      <c r="D25" s="66"/>
      <c r="E25" s="66">
        <v>207.1</v>
      </c>
      <c r="F25" s="66">
        <v>48.5</v>
      </c>
      <c r="G25" s="66"/>
      <c r="H25" s="66">
        <v>226</v>
      </c>
      <c r="I25" s="66"/>
      <c r="J25" s="68">
        <v>0.5</v>
      </c>
      <c r="K25" s="66">
        <v>7534.4</v>
      </c>
      <c r="L25" s="66"/>
      <c r="M25" s="66"/>
      <c r="N25" s="66"/>
      <c r="O25" s="69"/>
      <c r="P25" s="66"/>
      <c r="Q25" s="69"/>
      <c r="R25" s="69">
        <v>5939.2</v>
      </c>
      <c r="S25" s="68">
        <v>109.6</v>
      </c>
      <c r="T25" s="68">
        <v>53.8</v>
      </c>
      <c r="U25" s="68"/>
      <c r="V25" s="68">
        <v>253.7</v>
      </c>
      <c r="W25" s="68">
        <v>52.6</v>
      </c>
      <c r="X25" s="66">
        <v>9</v>
      </c>
      <c r="Y25" s="68">
        <v>-25.1</v>
      </c>
      <c r="Z25" s="68"/>
      <c r="AA25" s="68"/>
      <c r="AB25" s="66"/>
      <c r="AC25" s="66"/>
      <c r="AD25" s="66"/>
      <c r="AE25" s="66"/>
      <c r="AF25" s="71">
        <f t="shared" si="1"/>
        <v>14409.300000000001</v>
      </c>
      <c r="AG25" s="71">
        <f t="shared" si="3"/>
        <v>2414.6000000000004</v>
      </c>
      <c r="AH25" s="75"/>
    </row>
    <row r="26" spans="1:34" ht="15.75">
      <c r="A26" s="3" t="s">
        <v>5</v>
      </c>
      <c r="B26" s="22">
        <f>15053-90</f>
        <v>14963</v>
      </c>
      <c r="C26" s="22">
        <v>962</v>
      </c>
      <c r="D26" s="22"/>
      <c r="E26" s="22"/>
      <c r="F26" s="22"/>
      <c r="G26" s="22"/>
      <c r="H26" s="22"/>
      <c r="I26" s="22"/>
      <c r="J26" s="26"/>
      <c r="K26" s="22">
        <v>5829.5</v>
      </c>
      <c r="L26" s="22">
        <v>27.9</v>
      </c>
      <c r="M26" s="22"/>
      <c r="N26" s="22"/>
      <c r="O26" s="27"/>
      <c r="P26" s="22"/>
      <c r="Q26" s="27"/>
      <c r="R26" s="22">
        <v>3957</v>
      </c>
      <c r="S26" s="26">
        <v>4812.9</v>
      </c>
      <c r="T26" s="26">
        <v>26.7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14654</v>
      </c>
      <c r="AG26" s="27">
        <f t="shared" si="3"/>
        <v>1271</v>
      </c>
      <c r="AH26" s="6"/>
    </row>
    <row r="27" spans="1:33" ht="15.75">
      <c r="A27" s="3" t="s">
        <v>3</v>
      </c>
      <c r="B27" s="22">
        <f>2314.7+250+90</f>
        <v>2654.7</v>
      </c>
      <c r="C27" s="22">
        <v>298.6</v>
      </c>
      <c r="D27" s="22"/>
      <c r="E27" s="22">
        <v>12.4</v>
      </c>
      <c r="F27" s="22">
        <v>249.4</v>
      </c>
      <c r="G27" s="22"/>
      <c r="H27" s="22">
        <v>61.7</v>
      </c>
      <c r="I27" s="22"/>
      <c r="J27" s="26"/>
      <c r="K27" s="22">
        <v>746.5</v>
      </c>
      <c r="L27" s="22"/>
      <c r="M27" s="22"/>
      <c r="N27" s="22"/>
      <c r="O27" s="27">
        <v>93.7</v>
      </c>
      <c r="P27" s="22"/>
      <c r="Q27" s="27"/>
      <c r="R27" s="22">
        <v>472.5</v>
      </c>
      <c r="S27" s="26">
        <v>302.1</v>
      </c>
      <c r="T27" s="26"/>
      <c r="U27" s="26"/>
      <c r="V27" s="26">
        <v>275.1</v>
      </c>
      <c r="W27" s="26">
        <v>81.6</v>
      </c>
      <c r="X27" s="22">
        <v>3.9</v>
      </c>
      <c r="Y27" s="26"/>
      <c r="Z27" s="26"/>
      <c r="AA27" s="26"/>
      <c r="AB27" s="22"/>
      <c r="AC27" s="22"/>
      <c r="AD27" s="22"/>
      <c r="AE27" s="22"/>
      <c r="AF27" s="27">
        <f t="shared" si="1"/>
        <v>2298.9</v>
      </c>
      <c r="AG27" s="27">
        <f t="shared" si="3"/>
        <v>654.3999999999996</v>
      </c>
    </row>
    <row r="28" spans="1:33" ht="15.75">
      <c r="A28" s="3" t="s">
        <v>1</v>
      </c>
      <c r="B28" s="22">
        <v>331.2</v>
      </c>
      <c r="C28" s="22">
        <v>2.1</v>
      </c>
      <c r="D28" s="22"/>
      <c r="E28" s="22">
        <v>2.5</v>
      </c>
      <c r="F28" s="22">
        <v>15.8</v>
      </c>
      <c r="G28" s="22"/>
      <c r="H28" s="22">
        <v>6.5</v>
      </c>
      <c r="I28" s="22"/>
      <c r="J28" s="26"/>
      <c r="K28" s="22">
        <v>60.2</v>
      </c>
      <c r="L28" s="22"/>
      <c r="M28" s="22"/>
      <c r="N28" s="22"/>
      <c r="O28" s="27"/>
      <c r="P28" s="22"/>
      <c r="Q28" s="27"/>
      <c r="R28" s="22">
        <v>104.3</v>
      </c>
      <c r="S28" s="26"/>
      <c r="T28" s="26"/>
      <c r="U28" s="26"/>
      <c r="V28" s="26">
        <v>141.7</v>
      </c>
      <c r="W28" s="26"/>
      <c r="X28" s="22">
        <v>2.3</v>
      </c>
      <c r="Y28" s="26"/>
      <c r="Z28" s="26"/>
      <c r="AA28" s="26"/>
      <c r="AB28" s="22"/>
      <c r="AC28" s="22"/>
      <c r="AD28" s="22"/>
      <c r="AE28" s="22"/>
      <c r="AF28" s="27">
        <f t="shared" si="1"/>
        <v>333.3</v>
      </c>
      <c r="AG28" s="27">
        <f t="shared" si="3"/>
        <v>0</v>
      </c>
    </row>
    <row r="29" spans="1:33" ht="15.75">
      <c r="A29" s="3" t="s">
        <v>2</v>
      </c>
      <c r="B29" s="22">
        <f>3674.7-0.2</f>
        <v>3674.5</v>
      </c>
      <c r="C29" s="22">
        <v>728.4</v>
      </c>
      <c r="D29" s="22"/>
      <c r="E29" s="22">
        <v>165.4</v>
      </c>
      <c r="F29" s="22"/>
      <c r="G29" s="22"/>
      <c r="H29" s="22">
        <v>184.4</v>
      </c>
      <c r="I29" s="22"/>
      <c r="J29" s="26"/>
      <c r="K29" s="22">
        <v>1288.4</v>
      </c>
      <c r="L29" s="22"/>
      <c r="M29" s="22"/>
      <c r="N29" s="22"/>
      <c r="O29" s="27"/>
      <c r="P29" s="22"/>
      <c r="Q29" s="27"/>
      <c r="R29" s="22">
        <v>1114.2</v>
      </c>
      <c r="S29" s="26"/>
      <c r="T29" s="26">
        <v>20.1</v>
      </c>
      <c r="U29" s="26"/>
      <c r="V29" s="26">
        <v>11.6</v>
      </c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2784.1</v>
      </c>
      <c r="AG29" s="27">
        <f t="shared" si="3"/>
        <v>1618.7999999999997</v>
      </c>
    </row>
    <row r="30" spans="1:33" ht="15.75">
      <c r="A30" s="3" t="s">
        <v>17</v>
      </c>
      <c r="B30" s="22">
        <f>147.1+0.2+0.1</f>
        <v>147.39999999999998</v>
      </c>
      <c r="C30" s="22">
        <v>13.8</v>
      </c>
      <c r="D30" s="22"/>
      <c r="E30" s="22"/>
      <c r="F30" s="22"/>
      <c r="G30" s="22"/>
      <c r="H30" s="22"/>
      <c r="I30" s="22"/>
      <c r="J30" s="26"/>
      <c r="K30" s="22">
        <v>11.5</v>
      </c>
      <c r="L30" s="22"/>
      <c r="M30" s="22"/>
      <c r="N30" s="22"/>
      <c r="O30" s="27"/>
      <c r="P30" s="22"/>
      <c r="Q30" s="27"/>
      <c r="R30" s="22">
        <v>121.2</v>
      </c>
      <c r="S30" s="26"/>
      <c r="T30" s="26"/>
      <c r="U30" s="26"/>
      <c r="V30" s="26"/>
      <c r="W30" s="26">
        <v>11.2</v>
      </c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143.89999999999998</v>
      </c>
      <c r="AG30" s="27">
        <f t="shared" si="3"/>
        <v>17.30000000000001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>B24-B26-B27-B28-B29-B30-B31</f>
        <v>734.1000000000018</v>
      </c>
      <c r="C32" s="22">
        <f>C24-C26-C27-C28-C29-C30-C31</f>
        <v>279.1999999999999</v>
      </c>
      <c r="D32" s="22">
        <f aca="true" t="shared" si="5" ref="D32:AD32">D24-D26-D27-D28-D29-D30-D31</f>
        <v>0</v>
      </c>
      <c r="E32" s="22">
        <f t="shared" si="5"/>
        <v>33.69999999999999</v>
      </c>
      <c r="F32" s="22">
        <f t="shared" si="5"/>
        <v>-1.7763568394002505E-14</v>
      </c>
      <c r="G32" s="22">
        <f t="shared" si="5"/>
        <v>0</v>
      </c>
      <c r="H32" s="22">
        <f t="shared" si="5"/>
        <v>16.900000000000006</v>
      </c>
      <c r="I32" s="22">
        <f t="shared" si="5"/>
        <v>0</v>
      </c>
      <c r="J32" s="22">
        <f t="shared" si="5"/>
        <v>0.5</v>
      </c>
      <c r="K32" s="22">
        <f t="shared" si="5"/>
        <v>91.00000000000023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169.99999999999983</v>
      </c>
      <c r="S32" s="22">
        <f t="shared" si="5"/>
        <v>23.800000000000523</v>
      </c>
      <c r="T32" s="22">
        <f t="shared" si="5"/>
        <v>9.2</v>
      </c>
      <c r="U32" s="22">
        <f t="shared" si="5"/>
        <v>0</v>
      </c>
      <c r="V32" s="22">
        <f t="shared" si="5"/>
        <v>48.9</v>
      </c>
      <c r="W32" s="22">
        <f t="shared" si="5"/>
        <v>39.10000000000001</v>
      </c>
      <c r="X32" s="22">
        <f t="shared" si="5"/>
        <v>2.8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435.90000000000055</v>
      </c>
      <c r="AG32" s="27">
        <f>AG24-AG26-AG27-AG28-AG29-AG30-AG31</f>
        <v>577.3999999999985</v>
      </c>
    </row>
    <row r="33" spans="1:33" ht="15" customHeight="1">
      <c r="A33" s="4" t="s">
        <v>8</v>
      </c>
      <c r="B33" s="22">
        <f>233.1</f>
        <v>233.1</v>
      </c>
      <c r="C33" s="22">
        <v>82.7</v>
      </c>
      <c r="D33" s="22"/>
      <c r="E33" s="22"/>
      <c r="F33" s="22">
        <v>3.8</v>
      </c>
      <c r="G33" s="22"/>
      <c r="H33" s="22">
        <v>40.9</v>
      </c>
      <c r="I33" s="22"/>
      <c r="J33" s="26">
        <v>35.3</v>
      </c>
      <c r="K33" s="22">
        <v>2.1</v>
      </c>
      <c r="L33" s="22"/>
      <c r="M33" s="22"/>
      <c r="N33" s="22"/>
      <c r="O33" s="27"/>
      <c r="P33" s="22">
        <v>2.9</v>
      </c>
      <c r="Q33" s="27">
        <v>21.1</v>
      </c>
      <c r="R33" s="22">
        <v>3.9</v>
      </c>
      <c r="S33" s="26"/>
      <c r="T33" s="26"/>
      <c r="U33" s="26"/>
      <c r="V33" s="26">
        <v>86.8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196.8</v>
      </c>
      <c r="AG33" s="27">
        <f aca="true" t="shared" si="6" ref="AG33:AG38">B33+C33-AF33</f>
        <v>119</v>
      </c>
    </row>
    <row r="34" spans="1:33" ht="15.75">
      <c r="A34" s="3" t="s">
        <v>5</v>
      </c>
      <c r="B34" s="22">
        <f>118.8+1.1</f>
        <v>119.89999999999999</v>
      </c>
      <c r="C34" s="22">
        <v>5.3</v>
      </c>
      <c r="D34" s="22"/>
      <c r="E34" s="22"/>
      <c r="F34" s="22"/>
      <c r="G34" s="22"/>
      <c r="H34" s="22"/>
      <c r="I34" s="22"/>
      <c r="J34" s="26">
        <v>35.3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>
        <v>86.8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122.1</v>
      </c>
      <c r="AG34" s="27">
        <f t="shared" si="6"/>
        <v>3.0999999999999943</v>
      </c>
    </row>
    <row r="35" spans="1:33" ht="15.75">
      <c r="A35" s="3" t="s">
        <v>1</v>
      </c>
      <c r="B35" s="22">
        <v>0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f>99.3-1.1</f>
        <v>98.2</v>
      </c>
      <c r="C36" s="22">
        <v>62.8</v>
      </c>
      <c r="D36" s="22"/>
      <c r="E36" s="22"/>
      <c r="F36" s="22"/>
      <c r="G36" s="22"/>
      <c r="H36" s="22">
        <v>40.9</v>
      </c>
      <c r="I36" s="22"/>
      <c r="J36" s="26"/>
      <c r="K36" s="22"/>
      <c r="L36" s="22"/>
      <c r="M36" s="22"/>
      <c r="N36" s="22"/>
      <c r="O36" s="27"/>
      <c r="P36" s="22"/>
      <c r="Q36" s="27">
        <v>19.8</v>
      </c>
      <c r="R36" s="22">
        <v>3.9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64.60000000000001</v>
      </c>
      <c r="AG36" s="27">
        <f t="shared" si="6"/>
        <v>96.39999999999999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>B33-B34-B36-B38-B37-B35</f>
        <v>15</v>
      </c>
      <c r="C39" s="22">
        <f>C33-C34-C36-C38-C37-C35</f>
        <v>14.600000000000009</v>
      </c>
      <c r="D39" s="22">
        <f aca="true" t="shared" si="7" ref="D39:AD39">D33-D34-D36-D38-D37-D35</f>
        <v>0</v>
      </c>
      <c r="E39" s="22">
        <f t="shared" si="7"/>
        <v>0</v>
      </c>
      <c r="F39" s="22">
        <f t="shared" si="7"/>
        <v>3.8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2.1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2.9</v>
      </c>
      <c r="Q39" s="22">
        <f t="shared" si="7"/>
        <v>1.3000000000000007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10.100000000000001</v>
      </c>
      <c r="AG39" s="27">
        <f>AG33-AG34-AG36-AG38-AG35-AG37</f>
        <v>19.500000000000014</v>
      </c>
    </row>
    <row r="40" spans="1:33" ht="15" customHeight="1">
      <c r="A40" s="4" t="s">
        <v>33</v>
      </c>
      <c r="B40" s="22">
        <v>704.2</v>
      </c>
      <c r="C40" s="22">
        <v>74.9</v>
      </c>
      <c r="D40" s="22"/>
      <c r="E40" s="22"/>
      <c r="F40" s="22"/>
      <c r="G40" s="22"/>
      <c r="H40" s="22">
        <v>96</v>
      </c>
      <c r="I40" s="22"/>
      <c r="J40" s="26">
        <v>241.4</v>
      </c>
      <c r="K40" s="22"/>
      <c r="L40" s="22"/>
      <c r="M40" s="22"/>
      <c r="N40" s="22"/>
      <c r="O40" s="27"/>
      <c r="P40" s="22"/>
      <c r="Q40" s="27"/>
      <c r="R40" s="27">
        <v>13.4</v>
      </c>
      <c r="S40" s="26">
        <v>0.1</v>
      </c>
      <c r="T40" s="26"/>
      <c r="U40" s="26"/>
      <c r="V40" s="26"/>
      <c r="W40" s="26">
        <v>331</v>
      </c>
      <c r="X40" s="22">
        <v>0.7</v>
      </c>
      <c r="Y40" s="26"/>
      <c r="Z40" s="26"/>
      <c r="AA40" s="26"/>
      <c r="AB40" s="22"/>
      <c r="AC40" s="22"/>
      <c r="AD40" s="22"/>
      <c r="AE40" s="22"/>
      <c r="AF40" s="27">
        <f t="shared" si="1"/>
        <v>682.6</v>
      </c>
      <c r="AG40" s="27">
        <f aca="true" t="shared" si="8" ref="AG40:AG45">B40+C40-AF40</f>
        <v>96.5</v>
      </c>
    </row>
    <row r="41" spans="1:34" ht="15.75">
      <c r="A41" s="3" t="s">
        <v>5</v>
      </c>
      <c r="B41" s="22">
        <v>556</v>
      </c>
      <c r="C41" s="22">
        <v>28.4</v>
      </c>
      <c r="D41" s="22"/>
      <c r="E41" s="22"/>
      <c r="F41" s="22"/>
      <c r="G41" s="22"/>
      <c r="H41" s="22"/>
      <c r="I41" s="22"/>
      <c r="J41" s="26">
        <v>241.4</v>
      </c>
      <c r="K41" s="22"/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>
        <v>328.6</v>
      </c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570</v>
      </c>
      <c r="AG41" s="27">
        <f t="shared" si="8"/>
        <v>14.399999999999977</v>
      </c>
      <c r="AH41" s="6"/>
    </row>
    <row r="42" spans="1:33" ht="15.75">
      <c r="A42" s="3" t="s">
        <v>3</v>
      </c>
      <c r="B42" s="22">
        <v>0.7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>
        <v>0.3</v>
      </c>
      <c r="S42" s="26"/>
      <c r="T42" s="26"/>
      <c r="U42" s="26"/>
      <c r="V42" s="26"/>
      <c r="W42" s="26">
        <v>0.4</v>
      </c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0.7</v>
      </c>
      <c r="AG42" s="27">
        <f t="shared" si="8"/>
        <v>0</v>
      </c>
    </row>
    <row r="43" spans="1:33" ht="15.75">
      <c r="A43" s="3" t="s">
        <v>1</v>
      </c>
      <c r="B43" s="22">
        <v>7.5</v>
      </c>
      <c r="C43" s="22">
        <v>4.2</v>
      </c>
      <c r="D43" s="22"/>
      <c r="E43" s="22"/>
      <c r="F43" s="22"/>
      <c r="G43" s="22"/>
      <c r="H43" s="22">
        <v>6.5</v>
      </c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6.5</v>
      </c>
      <c r="AG43" s="27">
        <f t="shared" si="8"/>
        <v>5.199999999999999</v>
      </c>
    </row>
    <row r="44" spans="1:33" ht="15.75">
      <c r="A44" s="3" t="s">
        <v>2</v>
      </c>
      <c r="B44" s="22">
        <v>99</v>
      </c>
      <c r="C44" s="22">
        <v>22.4</v>
      </c>
      <c r="D44" s="22"/>
      <c r="E44" s="22"/>
      <c r="F44" s="22"/>
      <c r="G44" s="22"/>
      <c r="H44" s="22">
        <v>69.1</v>
      </c>
      <c r="I44" s="22"/>
      <c r="J44" s="26"/>
      <c r="K44" s="22"/>
      <c r="L44" s="22"/>
      <c r="M44" s="22"/>
      <c r="N44" s="22"/>
      <c r="O44" s="27"/>
      <c r="P44" s="22"/>
      <c r="Q44" s="22"/>
      <c r="R44" s="22">
        <v>4.4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73.5</v>
      </c>
      <c r="AG44" s="27">
        <f t="shared" si="8"/>
        <v>47.900000000000006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>B40-B41-B42-B43-B44-B45</f>
        <v>41.00000000000006</v>
      </c>
      <c r="C46" s="22">
        <f>C40-C41-C42-C43-C44-C45</f>
        <v>19.900000000000006</v>
      </c>
      <c r="D46" s="22">
        <f aca="true" t="shared" si="10" ref="D46:AD46">D40-D41-D42-D43-D44-D45</f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20.400000000000006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8.7</v>
      </c>
      <c r="S46" s="22">
        <f t="shared" si="10"/>
        <v>0.1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1.9999999999999774</v>
      </c>
      <c r="X46" s="22">
        <f t="shared" si="10"/>
        <v>0.7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31.899999999999984</v>
      </c>
      <c r="AG46" s="27">
        <f>AG40-AG41-AG42-AG43-AG44-AG45</f>
        <v>29.000000000000014</v>
      </c>
    </row>
    <row r="47" spans="1:33" ht="17.25" customHeight="1">
      <c r="A47" s="4" t="s">
        <v>15</v>
      </c>
      <c r="B47" s="36">
        <v>1006</v>
      </c>
      <c r="C47" s="22">
        <v>292.3</v>
      </c>
      <c r="D47" s="22"/>
      <c r="E47" s="28">
        <v>19.2</v>
      </c>
      <c r="F47" s="28">
        <v>1.6</v>
      </c>
      <c r="G47" s="28"/>
      <c r="H47" s="28">
        <v>31.5</v>
      </c>
      <c r="I47" s="28">
        <v>41</v>
      </c>
      <c r="J47" s="29"/>
      <c r="K47" s="28">
        <v>134.3</v>
      </c>
      <c r="L47" s="28"/>
      <c r="M47" s="28"/>
      <c r="N47" s="28"/>
      <c r="O47" s="31">
        <v>2</v>
      </c>
      <c r="P47" s="28">
        <v>40</v>
      </c>
      <c r="Q47" s="28"/>
      <c r="R47" s="28">
        <v>303.9</v>
      </c>
      <c r="S47" s="29">
        <v>42.9</v>
      </c>
      <c r="T47" s="29">
        <v>136.5</v>
      </c>
      <c r="U47" s="28"/>
      <c r="V47" s="28">
        <v>32.6</v>
      </c>
      <c r="W47" s="28">
        <v>15.2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800.7</v>
      </c>
      <c r="AG47" s="27">
        <f>B47+C47-AF47</f>
        <v>497.5999999999999</v>
      </c>
    </row>
    <row r="48" spans="1:33" ht="15.75">
      <c r="A48" s="3" t="s">
        <v>5</v>
      </c>
      <c r="B48" s="22">
        <v>0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17</v>
      </c>
      <c r="B49" s="22">
        <v>830.6</v>
      </c>
      <c r="C49" s="22">
        <v>254.7</v>
      </c>
      <c r="D49" s="22"/>
      <c r="E49" s="22">
        <v>18</v>
      </c>
      <c r="F49" s="22"/>
      <c r="G49" s="22"/>
      <c r="H49" s="22">
        <v>31.2</v>
      </c>
      <c r="I49" s="22">
        <v>40.6</v>
      </c>
      <c r="J49" s="26"/>
      <c r="K49" s="22">
        <v>134.1</v>
      </c>
      <c r="L49" s="22"/>
      <c r="M49" s="22"/>
      <c r="N49" s="22"/>
      <c r="O49" s="27">
        <v>2</v>
      </c>
      <c r="P49" s="22">
        <v>40</v>
      </c>
      <c r="Q49" s="22"/>
      <c r="R49" s="22">
        <v>303.9</v>
      </c>
      <c r="S49" s="26"/>
      <c r="T49" s="26">
        <v>135.8</v>
      </c>
      <c r="U49" s="22"/>
      <c r="V49" s="22">
        <v>32.6</v>
      </c>
      <c r="W49" s="22">
        <v>7.9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746.0999999999999</v>
      </c>
      <c r="AG49" s="27">
        <f>B49+C49-AF49</f>
        <v>339.20000000000005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>B47-B48-B49</f>
        <v>175.39999999999998</v>
      </c>
      <c r="C51" s="22">
        <f>C47-C48-C49</f>
        <v>37.60000000000002</v>
      </c>
      <c r="D51" s="22">
        <f aca="true" t="shared" si="11" ref="D51:AD51">D47-D48-D49</f>
        <v>0</v>
      </c>
      <c r="E51" s="22">
        <f t="shared" si="11"/>
        <v>1.1999999999999993</v>
      </c>
      <c r="F51" s="22">
        <f t="shared" si="11"/>
        <v>1.6</v>
      </c>
      <c r="G51" s="22">
        <f t="shared" si="11"/>
        <v>0</v>
      </c>
      <c r="H51" s="22">
        <f t="shared" si="11"/>
        <v>0.3000000000000007</v>
      </c>
      <c r="I51" s="22">
        <f t="shared" si="11"/>
        <v>0.3999999999999986</v>
      </c>
      <c r="J51" s="22">
        <f t="shared" si="11"/>
        <v>0</v>
      </c>
      <c r="K51" s="22">
        <f t="shared" si="11"/>
        <v>0.20000000000001705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42.9</v>
      </c>
      <c r="T51" s="22">
        <f t="shared" si="11"/>
        <v>0.6999999999999886</v>
      </c>
      <c r="U51" s="22">
        <f t="shared" si="11"/>
        <v>0</v>
      </c>
      <c r="V51" s="22">
        <f t="shared" si="11"/>
        <v>0</v>
      </c>
      <c r="W51" s="22">
        <f t="shared" si="11"/>
        <v>7.299999999999999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54.6</v>
      </c>
      <c r="AG51" s="27">
        <f>AG47-AG49-AG48</f>
        <v>158.39999999999986</v>
      </c>
    </row>
    <row r="52" spans="1:33" ht="15" customHeight="1">
      <c r="A52" s="4" t="s">
        <v>0</v>
      </c>
      <c r="B52" s="22">
        <f>7737.8+1490.6+907+3628.2</f>
        <v>13763.599999999999</v>
      </c>
      <c r="C52" s="22">
        <v>808.3</v>
      </c>
      <c r="D52" s="22">
        <v>1461.7</v>
      </c>
      <c r="E52" s="22">
        <v>564.4</v>
      </c>
      <c r="F52" s="22"/>
      <c r="G52" s="22"/>
      <c r="H52" s="22">
        <v>1326.7</v>
      </c>
      <c r="I52" s="22">
        <v>460.8</v>
      </c>
      <c r="J52" s="26"/>
      <c r="K52" s="22"/>
      <c r="L52" s="22"/>
      <c r="M52" s="22"/>
      <c r="N52" s="22"/>
      <c r="O52" s="27">
        <v>228</v>
      </c>
      <c r="P52" s="22"/>
      <c r="Q52" s="22"/>
      <c r="R52" s="22">
        <v>635.4</v>
      </c>
      <c r="S52" s="26"/>
      <c r="T52" s="26">
        <v>59</v>
      </c>
      <c r="U52" s="26">
        <v>64.9</v>
      </c>
      <c r="V52" s="26">
        <v>563.2</v>
      </c>
      <c r="W52" s="26">
        <v>1630.6</v>
      </c>
      <c r="X52" s="22">
        <v>5816.4</v>
      </c>
      <c r="Y52" s="26"/>
      <c r="Z52" s="26"/>
      <c r="AA52" s="26"/>
      <c r="AB52" s="22"/>
      <c r="AC52" s="22"/>
      <c r="AD52" s="22"/>
      <c r="AE52" s="22"/>
      <c r="AF52" s="27">
        <f t="shared" si="9"/>
        <v>12811.099999999999</v>
      </c>
      <c r="AG52" s="27">
        <f aca="true" t="shared" si="12" ref="AG52:AG59">B52+C52-AF52</f>
        <v>1760.7999999999993</v>
      </c>
    </row>
    <row r="53" spans="1:33" ht="15" customHeight="1">
      <c r="A53" s="3" t="s">
        <v>2</v>
      </c>
      <c r="B53" s="22">
        <v>446.7</v>
      </c>
      <c r="C53" s="22">
        <v>389.7</v>
      </c>
      <c r="D53" s="22"/>
      <c r="E53" s="22">
        <v>320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59</v>
      </c>
      <c r="U53" s="26"/>
      <c r="V53" s="26">
        <v>0.8</v>
      </c>
      <c r="W53" s="26"/>
      <c r="X53" s="22">
        <v>309</v>
      </c>
      <c r="Y53" s="26"/>
      <c r="Z53" s="26"/>
      <c r="AA53" s="26"/>
      <c r="AB53" s="22"/>
      <c r="AC53" s="22"/>
      <c r="AD53" s="22"/>
      <c r="AE53" s="22"/>
      <c r="AF53" s="27">
        <f t="shared" si="9"/>
        <v>688.8</v>
      </c>
      <c r="AG53" s="27">
        <f t="shared" si="12"/>
        <v>147.60000000000002</v>
      </c>
    </row>
    <row r="54" spans="1:34" ht="15" customHeight="1">
      <c r="A54" s="4" t="s">
        <v>9</v>
      </c>
      <c r="B54" s="44">
        <f>4531.1+19.2+0.2</f>
        <v>4550.5</v>
      </c>
      <c r="C54" s="22">
        <v>1052.6</v>
      </c>
      <c r="D54" s="22"/>
      <c r="E54" s="22">
        <v>439.8</v>
      </c>
      <c r="F54" s="22">
        <v>201.8</v>
      </c>
      <c r="G54" s="22">
        <v>26</v>
      </c>
      <c r="H54" s="22">
        <v>5.1</v>
      </c>
      <c r="I54" s="22">
        <v>1392.8</v>
      </c>
      <c r="J54" s="26">
        <v>7</v>
      </c>
      <c r="K54" s="22"/>
      <c r="L54" s="22">
        <v>56.1</v>
      </c>
      <c r="M54" s="22">
        <v>51.9</v>
      </c>
      <c r="N54" s="22"/>
      <c r="O54" s="27">
        <v>135.1</v>
      </c>
      <c r="P54" s="22">
        <f>11.7-3.2</f>
        <v>8.5</v>
      </c>
      <c r="Q54" s="27"/>
      <c r="R54" s="22">
        <v>231.8</v>
      </c>
      <c r="S54" s="26"/>
      <c r="T54" s="26">
        <v>1414.3</v>
      </c>
      <c r="U54" s="26"/>
      <c r="V54" s="26">
        <v>16.9</v>
      </c>
      <c r="W54" s="26">
        <v>11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3998.1</v>
      </c>
      <c r="AG54" s="22">
        <f t="shared" si="12"/>
        <v>1605.0000000000005</v>
      </c>
      <c r="AH54" s="6"/>
    </row>
    <row r="55" spans="1:34" ht="15.75">
      <c r="A55" s="3" t="s">
        <v>5</v>
      </c>
      <c r="B55" s="22">
        <v>2756.5</v>
      </c>
      <c r="C55" s="22">
        <v>140.9</v>
      </c>
      <c r="D55" s="22"/>
      <c r="E55" s="22"/>
      <c r="F55" s="22"/>
      <c r="G55" s="22"/>
      <c r="H55" s="22"/>
      <c r="I55" s="22">
        <v>1357</v>
      </c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>
        <v>1359.6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2716.6</v>
      </c>
      <c r="AG55" s="22">
        <f t="shared" si="12"/>
        <v>180.80000000000018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580.5</v>
      </c>
      <c r="C57" s="22">
        <v>487.3</v>
      </c>
      <c r="D57" s="22"/>
      <c r="E57" s="22">
        <v>31.7</v>
      </c>
      <c r="F57" s="22">
        <v>187.3</v>
      </c>
      <c r="G57" s="22">
        <v>26</v>
      </c>
      <c r="H57" s="22"/>
      <c r="I57" s="22">
        <v>0.6</v>
      </c>
      <c r="J57" s="26"/>
      <c r="K57" s="22"/>
      <c r="L57" s="22">
        <v>2.4</v>
      </c>
      <c r="M57" s="22"/>
      <c r="N57" s="22"/>
      <c r="O57" s="27">
        <v>24.9</v>
      </c>
      <c r="P57" s="22"/>
      <c r="Q57" s="27"/>
      <c r="R57" s="22">
        <v>11.7</v>
      </c>
      <c r="S57" s="26"/>
      <c r="T57" s="26">
        <v>8.1</v>
      </c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292.7</v>
      </c>
      <c r="AG57" s="22">
        <f t="shared" si="12"/>
        <v>775.0999999999999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>B54-B55-B57-B59-B56-B58</f>
        <v>1208.4</v>
      </c>
      <c r="C60" s="22">
        <f>C54-C55-C57-C59-C56-C58</f>
        <v>424.3999999999999</v>
      </c>
      <c r="D60" s="22">
        <f aca="true" t="shared" si="13" ref="D60:AD60">D54-D55-D57-D59-D56-D58</f>
        <v>0</v>
      </c>
      <c r="E60" s="22">
        <f t="shared" si="13"/>
        <v>408.1</v>
      </c>
      <c r="F60" s="22">
        <f t="shared" si="13"/>
        <v>14.5</v>
      </c>
      <c r="G60" s="22">
        <f t="shared" si="13"/>
        <v>0</v>
      </c>
      <c r="H60" s="22">
        <f t="shared" si="13"/>
        <v>5.1</v>
      </c>
      <c r="I60" s="22">
        <f t="shared" si="13"/>
        <v>35.19999999999995</v>
      </c>
      <c r="J60" s="22">
        <f t="shared" si="13"/>
        <v>7</v>
      </c>
      <c r="K60" s="22">
        <f t="shared" si="13"/>
        <v>0</v>
      </c>
      <c r="L60" s="22">
        <f t="shared" si="13"/>
        <v>53.7</v>
      </c>
      <c r="M60" s="22">
        <f t="shared" si="13"/>
        <v>51.9</v>
      </c>
      <c r="N60" s="22">
        <f t="shared" si="13"/>
        <v>0</v>
      </c>
      <c r="O60" s="22">
        <f t="shared" si="13"/>
        <v>110.19999999999999</v>
      </c>
      <c r="P60" s="22">
        <f t="shared" si="13"/>
        <v>8.5</v>
      </c>
      <c r="Q60" s="22">
        <f t="shared" si="13"/>
        <v>0</v>
      </c>
      <c r="R60" s="22">
        <f t="shared" si="13"/>
        <v>215.00000000000003</v>
      </c>
      <c r="S60" s="22">
        <f t="shared" si="13"/>
        <v>0</v>
      </c>
      <c r="T60" s="22">
        <f t="shared" si="13"/>
        <v>46.600000000000044</v>
      </c>
      <c r="U60" s="22">
        <f t="shared" si="13"/>
        <v>0</v>
      </c>
      <c r="V60" s="22">
        <f t="shared" si="13"/>
        <v>16.9</v>
      </c>
      <c r="W60" s="22">
        <f t="shared" si="13"/>
        <v>11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983.6999999999999</v>
      </c>
      <c r="AG60" s="22">
        <f>AG54-AG55-AG57-AG59-AG56-AG58</f>
        <v>649.1000000000004</v>
      </c>
    </row>
    <row r="61" spans="1:33" ht="15" customHeight="1">
      <c r="A61" s="4" t="s">
        <v>10</v>
      </c>
      <c r="B61" s="22">
        <f>69.9+61.1</f>
        <v>131</v>
      </c>
      <c r="C61" s="22">
        <v>95.9</v>
      </c>
      <c r="D61" s="22"/>
      <c r="E61" s="22"/>
      <c r="F61" s="22">
        <v>5.3</v>
      </c>
      <c r="G61" s="22">
        <v>62.1</v>
      </c>
      <c r="H61" s="22"/>
      <c r="I61" s="22"/>
      <c r="J61" s="26">
        <v>8.7</v>
      </c>
      <c r="K61" s="22"/>
      <c r="L61" s="22"/>
      <c r="M61" s="22"/>
      <c r="N61" s="22"/>
      <c r="O61" s="27"/>
      <c r="P61" s="22">
        <v>22.7</v>
      </c>
      <c r="Q61" s="27"/>
      <c r="R61" s="22"/>
      <c r="S61" s="26"/>
      <c r="T61" s="26"/>
      <c r="U61" s="26"/>
      <c r="V61" s="26">
        <v>11.7</v>
      </c>
      <c r="W61" s="26">
        <v>44.1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154.60000000000002</v>
      </c>
      <c r="AG61" s="22">
        <f aca="true" t="shared" si="15" ref="AG61:AG67">B61+C61-AF61</f>
        <v>72.29999999999998</v>
      </c>
    </row>
    <row r="62" spans="1:33" ht="15" customHeight="1">
      <c r="A62" s="4" t="s">
        <v>11</v>
      </c>
      <c r="B62" s="22">
        <f>1405.5+36.8-0.1</f>
        <v>1442.2</v>
      </c>
      <c r="C62" s="22">
        <v>376.6</v>
      </c>
      <c r="D62" s="22"/>
      <c r="E62" s="22"/>
      <c r="F62" s="22">
        <v>9.1</v>
      </c>
      <c r="G62" s="22">
        <v>9.3</v>
      </c>
      <c r="H62" s="22"/>
      <c r="I62" s="22">
        <v>297.9</v>
      </c>
      <c r="J62" s="26"/>
      <c r="K62" s="22">
        <v>22</v>
      </c>
      <c r="L62" s="22">
        <v>64.6</v>
      </c>
      <c r="M62" s="22"/>
      <c r="N62" s="22"/>
      <c r="O62" s="27"/>
      <c r="P62" s="22">
        <v>70.7</v>
      </c>
      <c r="Q62" s="27">
        <v>6</v>
      </c>
      <c r="R62" s="22">
        <v>66.1</v>
      </c>
      <c r="S62" s="26">
        <v>10</v>
      </c>
      <c r="T62" s="26">
        <v>1</v>
      </c>
      <c r="U62" s="26">
        <v>492.9</v>
      </c>
      <c r="V62" s="26">
        <v>75.6</v>
      </c>
      <c r="W62" s="26"/>
      <c r="X62" s="22">
        <v>12.9</v>
      </c>
      <c r="Y62" s="26"/>
      <c r="Z62" s="26"/>
      <c r="AA62" s="26"/>
      <c r="AB62" s="22"/>
      <c r="AC62" s="22"/>
      <c r="AD62" s="22"/>
      <c r="AE62" s="22"/>
      <c r="AF62" s="27">
        <f t="shared" si="14"/>
        <v>1138.1</v>
      </c>
      <c r="AG62" s="22">
        <f t="shared" si="15"/>
        <v>680.7000000000003</v>
      </c>
    </row>
    <row r="63" spans="1:34" ht="15.75">
      <c r="A63" s="3" t="s">
        <v>5</v>
      </c>
      <c r="B63" s="22">
        <v>767.9</v>
      </c>
      <c r="C63" s="22">
        <v>45.7</v>
      </c>
      <c r="D63" s="22"/>
      <c r="E63" s="22"/>
      <c r="F63" s="22"/>
      <c r="G63" s="22"/>
      <c r="H63" s="22"/>
      <c r="I63" s="22">
        <v>297.9</v>
      </c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>
        <v>451.2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749.0999999999999</v>
      </c>
      <c r="AG63" s="22">
        <f t="shared" si="15"/>
        <v>64.50000000000011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32</v>
      </c>
      <c r="C65" s="22">
        <v>18.7</v>
      </c>
      <c r="D65" s="22"/>
      <c r="E65" s="22"/>
      <c r="F65" s="22">
        <v>1.3</v>
      </c>
      <c r="G65" s="22"/>
      <c r="H65" s="22"/>
      <c r="I65" s="22"/>
      <c r="J65" s="26"/>
      <c r="K65" s="22">
        <v>7.6</v>
      </c>
      <c r="L65" s="22"/>
      <c r="M65" s="22"/>
      <c r="N65" s="22"/>
      <c r="O65" s="27"/>
      <c r="P65" s="22">
        <v>7.5</v>
      </c>
      <c r="Q65" s="27"/>
      <c r="R65" s="22">
        <v>6.3</v>
      </c>
      <c r="S65" s="26"/>
      <c r="T65" s="26"/>
      <c r="U65" s="26"/>
      <c r="V65" s="26"/>
      <c r="W65" s="26"/>
      <c r="X65" s="22">
        <v>0.4</v>
      </c>
      <c r="Y65" s="26"/>
      <c r="Z65" s="26"/>
      <c r="AA65" s="26"/>
      <c r="AB65" s="22"/>
      <c r="AC65" s="22"/>
      <c r="AD65" s="22"/>
      <c r="AE65" s="22"/>
      <c r="AF65" s="27">
        <f t="shared" si="14"/>
        <v>23.099999999999998</v>
      </c>
      <c r="AG65" s="22">
        <f t="shared" si="15"/>
        <v>27.600000000000005</v>
      </c>
      <c r="AH65" s="6"/>
    </row>
    <row r="66" spans="1:33" ht="15.75">
      <c r="A66" s="3" t="s">
        <v>2</v>
      </c>
      <c r="B66" s="22">
        <v>141.8</v>
      </c>
      <c r="C66" s="22">
        <v>41.9</v>
      </c>
      <c r="D66" s="22"/>
      <c r="E66" s="22"/>
      <c r="F66" s="22">
        <v>7</v>
      </c>
      <c r="G66" s="22">
        <v>0.1</v>
      </c>
      <c r="H66" s="22"/>
      <c r="I66" s="22"/>
      <c r="J66" s="26"/>
      <c r="K66" s="22">
        <v>7.7</v>
      </c>
      <c r="L66" s="22"/>
      <c r="M66" s="22"/>
      <c r="N66" s="22"/>
      <c r="O66" s="27"/>
      <c r="P66" s="22">
        <v>62.8</v>
      </c>
      <c r="Q66" s="22">
        <v>6</v>
      </c>
      <c r="R66" s="22">
        <v>1.3</v>
      </c>
      <c r="S66" s="26">
        <v>0.9</v>
      </c>
      <c r="T66" s="26">
        <v>0.9</v>
      </c>
      <c r="U66" s="26">
        <v>1</v>
      </c>
      <c r="V66" s="26"/>
      <c r="W66" s="26"/>
      <c r="X66" s="22">
        <v>0.7</v>
      </c>
      <c r="Y66" s="26"/>
      <c r="Z66" s="26"/>
      <c r="AA66" s="26"/>
      <c r="AB66" s="22"/>
      <c r="AC66" s="22"/>
      <c r="AD66" s="22"/>
      <c r="AE66" s="22"/>
      <c r="AF66" s="27">
        <f t="shared" si="14"/>
        <v>88.4</v>
      </c>
      <c r="AG66" s="22">
        <f t="shared" si="15"/>
        <v>95.30000000000001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>B62-B63-B66-B67-B65-B64</f>
        <v>500.5</v>
      </c>
      <c r="C68" s="22">
        <f>C62-C63-C66-C67-C65-C64</f>
        <v>270.30000000000007</v>
      </c>
      <c r="D68" s="22">
        <f aca="true" t="shared" si="16" ref="D68:AD68">D62-D63-D66-D67-D65-D64</f>
        <v>0</v>
      </c>
      <c r="E68" s="22">
        <f t="shared" si="16"/>
        <v>0</v>
      </c>
      <c r="F68" s="22">
        <f t="shared" si="16"/>
        <v>0.7999999999999996</v>
      </c>
      <c r="G68" s="22">
        <f t="shared" si="16"/>
        <v>9.200000000000001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6.700000000000001</v>
      </c>
      <c r="L68" s="22">
        <f t="shared" si="16"/>
        <v>64.6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0.4000000000000057</v>
      </c>
      <c r="Q68" s="22">
        <f t="shared" si="16"/>
        <v>0</v>
      </c>
      <c r="R68" s="22">
        <f t="shared" si="16"/>
        <v>58.5</v>
      </c>
      <c r="S68" s="22">
        <f t="shared" si="16"/>
        <v>9.1</v>
      </c>
      <c r="T68" s="22">
        <f t="shared" si="16"/>
        <v>0.09999999999999998</v>
      </c>
      <c r="U68" s="22">
        <f t="shared" si="16"/>
        <v>40.69999999999999</v>
      </c>
      <c r="V68" s="22">
        <f t="shared" si="16"/>
        <v>75.6</v>
      </c>
      <c r="W68" s="22">
        <f t="shared" si="16"/>
        <v>0</v>
      </c>
      <c r="X68" s="22">
        <f t="shared" si="16"/>
        <v>11.8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277.49999999999994</v>
      </c>
      <c r="AG68" s="22">
        <f>AG62-AG63-AG66-AG67-AG65-AG64</f>
        <v>493.30000000000007</v>
      </c>
    </row>
    <row r="69" spans="1:33" ht="31.5">
      <c r="A69" s="4" t="s">
        <v>32</v>
      </c>
      <c r="B69" s="22">
        <v>1236</v>
      </c>
      <c r="C69" s="22">
        <v>18.5</v>
      </c>
      <c r="D69" s="22"/>
      <c r="E69" s="22"/>
      <c r="F69" s="22"/>
      <c r="G69" s="22">
        <v>7.6</v>
      </c>
      <c r="H69" s="22">
        <v>1124</v>
      </c>
      <c r="I69" s="22"/>
      <c r="J69" s="26"/>
      <c r="K69" s="22"/>
      <c r="L69" s="22"/>
      <c r="M69" s="22"/>
      <c r="N69" s="22"/>
      <c r="O69" s="22">
        <v>100</v>
      </c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1231.6</v>
      </c>
      <c r="AG69" s="30">
        <f aca="true" t="shared" si="17" ref="AG69:AG92">B69+C69-AF69</f>
        <v>22.90000000000009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433.2</v>
      </c>
      <c r="C71" s="28">
        <v>169.6</v>
      </c>
      <c r="D71" s="28"/>
      <c r="E71" s="28"/>
      <c r="F71" s="28">
        <v>568.7</v>
      </c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>
        <v>16.6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585.3000000000001</v>
      </c>
      <c r="AG71" s="30">
        <f t="shared" si="17"/>
        <v>17.499999999999886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826+42-6+0.1</f>
        <v>862.1</v>
      </c>
      <c r="C72" s="22">
        <v>602.3</v>
      </c>
      <c r="D72" s="22"/>
      <c r="E72" s="22"/>
      <c r="F72" s="22">
        <v>16.5</v>
      </c>
      <c r="G72" s="22">
        <v>5.2</v>
      </c>
      <c r="H72" s="22"/>
      <c r="I72" s="22">
        <v>41.9</v>
      </c>
      <c r="J72" s="26">
        <v>91.2</v>
      </c>
      <c r="K72" s="22"/>
      <c r="L72" s="22">
        <v>5</v>
      </c>
      <c r="M72" s="22">
        <v>49.4</v>
      </c>
      <c r="N72" s="22"/>
      <c r="O72" s="22">
        <v>0.1</v>
      </c>
      <c r="P72" s="22">
        <v>2</v>
      </c>
      <c r="Q72" s="27"/>
      <c r="R72" s="22">
        <v>4.7</v>
      </c>
      <c r="S72" s="26">
        <v>79.3</v>
      </c>
      <c r="T72" s="26"/>
      <c r="U72" s="26">
        <v>141</v>
      </c>
      <c r="V72" s="26">
        <v>43.9</v>
      </c>
      <c r="W72" s="26">
        <v>99</v>
      </c>
      <c r="X72" s="22">
        <v>41</v>
      </c>
      <c r="Y72" s="26"/>
      <c r="Z72" s="26"/>
      <c r="AA72" s="26"/>
      <c r="AB72" s="22"/>
      <c r="AC72" s="22"/>
      <c r="AD72" s="22"/>
      <c r="AE72" s="22"/>
      <c r="AF72" s="27">
        <f t="shared" si="14"/>
        <v>620.2</v>
      </c>
      <c r="AG72" s="30">
        <f t="shared" si="17"/>
        <v>844.2</v>
      </c>
    </row>
    <row r="73" spans="1:33" ht="15" customHeight="1">
      <c r="A73" s="3" t="s">
        <v>5</v>
      </c>
      <c r="B73" s="22">
        <v>16.8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>
        <v>16.8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f>210.2+42</f>
        <v>252.2</v>
      </c>
      <c r="C74" s="22">
        <v>62.2</v>
      </c>
      <c r="D74" s="22"/>
      <c r="E74" s="22"/>
      <c r="F74" s="22"/>
      <c r="G74" s="22"/>
      <c r="H74" s="22"/>
      <c r="I74" s="22">
        <v>0.3</v>
      </c>
      <c r="J74" s="26">
        <v>78.6</v>
      </c>
      <c r="K74" s="22"/>
      <c r="L74" s="22"/>
      <c r="M74" s="22">
        <v>37.4</v>
      </c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116.29999999999998</v>
      </c>
      <c r="AG74" s="30">
        <f t="shared" si="17"/>
        <v>198.1</v>
      </c>
    </row>
    <row r="75" spans="1:33" ht="15" customHeight="1">
      <c r="A75" s="3" t="s">
        <v>17</v>
      </c>
      <c r="B75" s="22">
        <f>77.2-4.1-5.8</f>
        <v>67.30000000000001</v>
      </c>
      <c r="C75" s="22">
        <v>74.5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2.8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139</v>
      </c>
    </row>
    <row r="76" spans="1:33" s="11" customFormat="1" ht="31.5">
      <c r="A76" s="12" t="s">
        <v>21</v>
      </c>
      <c r="B76" s="22">
        <v>98.3</v>
      </c>
      <c r="C76" s="22">
        <v>122</v>
      </c>
      <c r="D76" s="22"/>
      <c r="E76" s="28"/>
      <c r="F76" s="28"/>
      <c r="G76" s="28"/>
      <c r="H76" s="28">
        <v>5.7</v>
      </c>
      <c r="I76" s="28"/>
      <c r="J76" s="29">
        <v>31.9</v>
      </c>
      <c r="K76" s="28"/>
      <c r="L76" s="28"/>
      <c r="M76" s="28"/>
      <c r="N76" s="28"/>
      <c r="O76" s="28"/>
      <c r="P76" s="28">
        <v>5.2</v>
      </c>
      <c r="Q76" s="31"/>
      <c r="R76" s="28"/>
      <c r="S76" s="29"/>
      <c r="T76" s="29"/>
      <c r="U76" s="28">
        <v>42.5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85.30000000000001</v>
      </c>
      <c r="AG76" s="30">
        <f t="shared" si="17"/>
        <v>135</v>
      </c>
    </row>
    <row r="77" spans="1:33" s="11" customFormat="1" ht="15.75">
      <c r="A77" s="3" t="s">
        <v>5</v>
      </c>
      <c r="B77" s="22">
        <v>72</v>
      </c>
      <c r="C77" s="22">
        <v>0.6</v>
      </c>
      <c r="D77" s="22"/>
      <c r="E77" s="28"/>
      <c r="F77" s="28"/>
      <c r="G77" s="28"/>
      <c r="H77" s="28"/>
      <c r="I77" s="28"/>
      <c r="J77" s="29">
        <v>31.9</v>
      </c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>
        <v>40.5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72.4</v>
      </c>
      <c r="AG77" s="30">
        <f t="shared" si="17"/>
        <v>0.19999999999998863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4.9</v>
      </c>
      <c r="C80" s="22">
        <v>6.5</v>
      </c>
      <c r="D80" s="22"/>
      <c r="E80" s="28"/>
      <c r="F80" s="28"/>
      <c r="G80" s="28"/>
      <c r="H80" s="28">
        <v>0.3</v>
      </c>
      <c r="I80" s="28"/>
      <c r="J80" s="29"/>
      <c r="K80" s="28"/>
      <c r="L80" s="28"/>
      <c r="M80" s="28"/>
      <c r="N80" s="28"/>
      <c r="O80" s="28"/>
      <c r="P80" s="28">
        <v>5.1</v>
      </c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5.3999999999999995</v>
      </c>
      <c r="AG80" s="30">
        <f t="shared" si="17"/>
        <v>6.000000000000001</v>
      </c>
    </row>
    <row r="81" spans="1:33" s="11" customFormat="1" ht="15.75">
      <c r="A81" s="12" t="s">
        <v>36</v>
      </c>
      <c r="B81" s="22">
        <v>20.7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345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345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2200+1500</f>
        <v>3700</v>
      </c>
      <c r="C89" s="22">
        <v>1115.6</v>
      </c>
      <c r="D89" s="22"/>
      <c r="E89" s="22">
        <v>105.3</v>
      </c>
      <c r="F89" s="22"/>
      <c r="G89" s="22"/>
      <c r="H89" s="22">
        <v>21.7</v>
      </c>
      <c r="I89" s="22"/>
      <c r="J89" s="22">
        <v>331.5</v>
      </c>
      <c r="K89" s="22">
        <v>41.9</v>
      </c>
      <c r="L89" s="22"/>
      <c r="M89" s="22">
        <v>106.9</v>
      </c>
      <c r="N89" s="22"/>
      <c r="O89" s="22">
        <v>1197.5</v>
      </c>
      <c r="P89" s="22">
        <v>64.4</v>
      </c>
      <c r="Q89" s="22">
        <v>33.5</v>
      </c>
      <c r="R89" s="22"/>
      <c r="S89" s="26"/>
      <c r="T89" s="26">
        <v>768.6</v>
      </c>
      <c r="U89" s="22">
        <v>5.6</v>
      </c>
      <c r="V89" s="22"/>
      <c r="W89" s="22"/>
      <c r="X89" s="26">
        <v>65.8</v>
      </c>
      <c r="Y89" s="26"/>
      <c r="Z89" s="26"/>
      <c r="AA89" s="26"/>
      <c r="AB89" s="22"/>
      <c r="AC89" s="22"/>
      <c r="AD89" s="22"/>
      <c r="AE89" s="22"/>
      <c r="AF89" s="27">
        <f t="shared" si="14"/>
        <v>2742.7000000000003</v>
      </c>
      <c r="AG89" s="22">
        <f t="shared" si="17"/>
        <v>2072.9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>
        <v>805.6</v>
      </c>
      <c r="J90" s="22"/>
      <c r="K90" s="22"/>
      <c r="L90" s="22"/>
      <c r="M90" s="22"/>
      <c r="N90" s="22"/>
      <c r="O90" s="22"/>
      <c r="P90" s="22">
        <v>805.6</v>
      </c>
      <c r="Q90" s="22"/>
      <c r="R90" s="22"/>
      <c r="S90" s="26"/>
      <c r="T90" s="26"/>
      <c r="U90" s="22"/>
      <c r="V90" s="22"/>
      <c r="W90" s="22"/>
      <c r="X90" s="26"/>
      <c r="Y90" s="26">
        <v>805.6</v>
      </c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833.3</v>
      </c>
      <c r="C91" s="22">
        <v>1666.7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2500</v>
      </c>
      <c r="AH91" s="11"/>
    </row>
    <row r="92" spans="1:34" ht="15.75">
      <c r="A92" s="4" t="s">
        <v>44</v>
      </c>
      <c r="B92" s="22">
        <f>545.5+4517.1-188.4</f>
        <v>4874.200000000001</v>
      </c>
      <c r="C92" s="22">
        <v>0</v>
      </c>
      <c r="D92" s="22"/>
      <c r="E92" s="22"/>
      <c r="F92" s="22"/>
      <c r="G92" s="22"/>
      <c r="H92" s="22"/>
      <c r="I92" s="22">
        <v>545.5</v>
      </c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>
        <v>173</v>
      </c>
      <c r="Y92" s="26">
        <v>4155.7</v>
      </c>
      <c r="Z92" s="26"/>
      <c r="AA92" s="26"/>
      <c r="AB92" s="22"/>
      <c r="AC92" s="22"/>
      <c r="AD92" s="22"/>
      <c r="AE92" s="22"/>
      <c r="AF92" s="27">
        <f t="shared" si="14"/>
        <v>4874.2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>B10+B15+B24+B33+B47+B52+B54+B61+B62+B69+B71+B72+B76+B81+B82+B83+B88+B89+B90+B91+B40+B92+B70</f>
        <v>106158.40000000002</v>
      </c>
      <c r="C94" s="42">
        <f>C10+C15+C24+C33+C47+C52+C54+C61+C62+C69+C71+C72+C76+C81+C82+C83+C88+C89+C90+C91+C40+C92+C70</f>
        <v>24154.599999999995</v>
      </c>
      <c r="D94" s="42">
        <f aca="true" t="shared" si="18" ref="D94:Y94">D10+D15+D24+D33+D47+D52+D54+D61+D62+D69+D71+D72+D76+D81+D82+D83+D88+D89+D90+D91+D40+D92+D70</f>
        <v>1841.3000000000002</v>
      </c>
      <c r="E94" s="42">
        <f t="shared" si="18"/>
        <v>1577.3</v>
      </c>
      <c r="F94" s="42">
        <f t="shared" si="18"/>
        <v>2375.8999999999996</v>
      </c>
      <c r="G94" s="42">
        <f t="shared" si="18"/>
        <v>133.29999999999998</v>
      </c>
      <c r="H94" s="42">
        <f t="shared" si="18"/>
        <v>2922.9999999999995</v>
      </c>
      <c r="I94" s="42">
        <f t="shared" si="18"/>
        <v>3589.3</v>
      </c>
      <c r="J94" s="42">
        <f t="shared" si="18"/>
        <v>13696</v>
      </c>
      <c r="K94" s="42">
        <f t="shared" si="18"/>
        <v>10825.7</v>
      </c>
      <c r="L94" s="42">
        <f t="shared" si="18"/>
        <v>2187</v>
      </c>
      <c r="M94" s="42">
        <f t="shared" si="18"/>
        <v>667.4</v>
      </c>
      <c r="N94" s="42">
        <f t="shared" si="18"/>
        <v>0</v>
      </c>
      <c r="O94" s="42">
        <f t="shared" si="18"/>
        <v>4293</v>
      </c>
      <c r="P94" s="42">
        <f t="shared" si="18"/>
        <v>1701.8000000000002</v>
      </c>
      <c r="Q94" s="42">
        <f t="shared" si="18"/>
        <v>359.3</v>
      </c>
      <c r="R94" s="42">
        <f t="shared" si="18"/>
        <v>8325.3</v>
      </c>
      <c r="S94" s="42">
        <f t="shared" si="18"/>
        <v>5633.1</v>
      </c>
      <c r="T94" s="42">
        <f t="shared" si="18"/>
        <v>7342.200000000001</v>
      </c>
      <c r="U94" s="42">
        <f t="shared" si="18"/>
        <v>10226.800000000001</v>
      </c>
      <c r="V94" s="42">
        <f t="shared" si="18"/>
        <v>4204.3</v>
      </c>
      <c r="W94" s="42">
        <f t="shared" si="18"/>
        <v>4036.2</v>
      </c>
      <c r="X94" s="42">
        <f t="shared" si="18"/>
        <v>8733.699999999999</v>
      </c>
      <c r="Y94" s="42">
        <f t="shared" si="18"/>
        <v>5021.7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99693.60000000003</v>
      </c>
      <c r="AG94" s="58">
        <f>AG10+AG15+AG24+AG33+AG47+AG52+AG54+AG61+AG62+AG69+AG71+AG72+AG76+AG81+AG82+AG83+AG88+AG89+AG90+AG91+AG70+AG40+AG92</f>
        <v>30619.400000000012</v>
      </c>
    </row>
    <row r="95" spans="1:33" ht="15.75">
      <c r="A95" s="3" t="s">
        <v>5</v>
      </c>
      <c r="B95" s="22">
        <f>B11+B17+B26+B34+B55+B63+B73+B41+B77+B48</f>
        <v>48862.90000000001</v>
      </c>
      <c r="C95" s="22">
        <f>C11+C17+C26+C34+C55+C63+C73+C41+C77+C48</f>
        <v>2479.7000000000003</v>
      </c>
      <c r="D95" s="22">
        <f aca="true" t="shared" si="19" ref="D95:AD95">D11+D17+D26+D34+D55+D63+D73+D41+D77+D48</f>
        <v>29</v>
      </c>
      <c r="E95" s="22">
        <f t="shared" si="19"/>
        <v>142.9</v>
      </c>
      <c r="F95" s="22">
        <f t="shared" si="19"/>
        <v>22.1</v>
      </c>
      <c r="G95" s="22">
        <f t="shared" si="19"/>
        <v>0</v>
      </c>
      <c r="H95" s="22">
        <f t="shared" si="19"/>
        <v>1.9</v>
      </c>
      <c r="I95" s="22">
        <f t="shared" si="19"/>
        <v>1655.5</v>
      </c>
      <c r="J95" s="22">
        <f t="shared" si="19"/>
        <v>10865.999999999998</v>
      </c>
      <c r="K95" s="22">
        <f t="shared" si="19"/>
        <v>6801.8</v>
      </c>
      <c r="L95" s="22">
        <f t="shared" si="19"/>
        <v>174.20000000000002</v>
      </c>
      <c r="M95" s="22">
        <f t="shared" si="19"/>
        <v>0</v>
      </c>
      <c r="N95" s="22">
        <f t="shared" si="19"/>
        <v>0</v>
      </c>
      <c r="O95" s="22">
        <f t="shared" si="19"/>
        <v>19.4</v>
      </c>
      <c r="P95" s="22">
        <f t="shared" si="19"/>
        <v>0</v>
      </c>
      <c r="Q95" s="22">
        <f t="shared" si="19"/>
        <v>5.4</v>
      </c>
      <c r="R95" s="22">
        <f t="shared" si="19"/>
        <v>3970.1</v>
      </c>
      <c r="S95" s="22">
        <f t="shared" si="19"/>
        <v>4812.9</v>
      </c>
      <c r="T95" s="22">
        <f t="shared" si="19"/>
        <v>4860.5</v>
      </c>
      <c r="U95" s="22">
        <f t="shared" si="19"/>
        <v>9362.2</v>
      </c>
      <c r="V95" s="22">
        <f t="shared" si="19"/>
        <v>2107.3</v>
      </c>
      <c r="W95" s="22">
        <f t="shared" si="19"/>
        <v>861.3000000000001</v>
      </c>
      <c r="X95" s="22">
        <f t="shared" si="19"/>
        <v>2059.5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47752</v>
      </c>
      <c r="AG95" s="27">
        <f>B95+C95-AF95</f>
        <v>3590.600000000006</v>
      </c>
    </row>
    <row r="96" spans="1:33" ht="15.75">
      <c r="A96" s="3" t="s">
        <v>2</v>
      </c>
      <c r="B96" s="22">
        <f>B12+B20+B29+B36+B57+B66+B44+B80+B74+B53</f>
        <v>15120.900000000001</v>
      </c>
      <c r="C96" s="22">
        <f>C12+C20+C29+C36+C57+C66+C44+C80+C74+C53</f>
        <v>10632.5</v>
      </c>
      <c r="D96" s="22">
        <f aca="true" t="shared" si="20" ref="D96:AD96">D12+D20+D29+D36+D57+D66+D44+D80+D74+D53</f>
        <v>13.6</v>
      </c>
      <c r="E96" s="22">
        <f t="shared" si="20"/>
        <v>567.3</v>
      </c>
      <c r="F96" s="22">
        <f t="shared" si="20"/>
        <v>1185.2</v>
      </c>
      <c r="G96" s="22">
        <f t="shared" si="20"/>
        <v>27.5</v>
      </c>
      <c r="H96" s="22">
        <f t="shared" si="20"/>
        <v>294.7</v>
      </c>
      <c r="I96" s="22">
        <f t="shared" si="20"/>
        <v>2</v>
      </c>
      <c r="J96" s="22">
        <f t="shared" si="20"/>
        <v>1748.1999999999998</v>
      </c>
      <c r="K96" s="22">
        <f t="shared" si="20"/>
        <v>2188.5</v>
      </c>
      <c r="L96" s="22">
        <f t="shared" si="20"/>
        <v>1679.7</v>
      </c>
      <c r="M96" s="22">
        <f t="shared" si="20"/>
        <v>313</v>
      </c>
      <c r="N96" s="22">
        <f t="shared" si="20"/>
        <v>0</v>
      </c>
      <c r="O96" s="22">
        <f t="shared" si="20"/>
        <v>2161.5</v>
      </c>
      <c r="P96" s="22">
        <f t="shared" si="20"/>
        <v>67.89999999999999</v>
      </c>
      <c r="Q96" s="22">
        <f t="shared" si="20"/>
        <v>32.6</v>
      </c>
      <c r="R96" s="22">
        <f t="shared" si="20"/>
        <v>1869.4000000000003</v>
      </c>
      <c r="S96" s="22">
        <f t="shared" si="20"/>
        <v>323</v>
      </c>
      <c r="T96" s="22">
        <f t="shared" si="20"/>
        <v>308</v>
      </c>
      <c r="U96" s="22">
        <f t="shared" si="20"/>
        <v>146.7</v>
      </c>
      <c r="V96" s="22">
        <f t="shared" si="20"/>
        <v>402.6</v>
      </c>
      <c r="W96" s="22">
        <f t="shared" si="20"/>
        <v>1044.7</v>
      </c>
      <c r="X96" s="22">
        <f t="shared" si="20"/>
        <v>349.5</v>
      </c>
      <c r="Y96" s="22">
        <f t="shared" si="20"/>
        <v>5.8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14731.400000000001</v>
      </c>
      <c r="AG96" s="27">
        <f>B96+C96-AF96</f>
        <v>11022</v>
      </c>
    </row>
    <row r="97" spans="1:33" ht="15.75">
      <c r="A97" s="3" t="s">
        <v>3</v>
      </c>
      <c r="B97" s="22">
        <f>B18+B27+B42+B64+B78</f>
        <v>2659.5999999999995</v>
      </c>
      <c r="C97" s="22">
        <f>C18+C27+C42+C64+C78</f>
        <v>305.20000000000005</v>
      </c>
      <c r="D97" s="22">
        <f aca="true" t="shared" si="21" ref="D97:AA97">D18+D27+D42+D64+D78</f>
        <v>0</v>
      </c>
      <c r="E97" s="22">
        <f t="shared" si="21"/>
        <v>12.4</v>
      </c>
      <c r="F97" s="22">
        <f t="shared" si="21"/>
        <v>249.4</v>
      </c>
      <c r="G97" s="22">
        <f t="shared" si="21"/>
        <v>0</v>
      </c>
      <c r="H97" s="22">
        <f t="shared" si="21"/>
        <v>61.7</v>
      </c>
      <c r="I97" s="22">
        <f t="shared" si="21"/>
        <v>0</v>
      </c>
      <c r="J97" s="22">
        <f t="shared" si="21"/>
        <v>2.9</v>
      </c>
      <c r="K97" s="22">
        <f t="shared" si="21"/>
        <v>748.1</v>
      </c>
      <c r="L97" s="22">
        <f t="shared" si="21"/>
        <v>0</v>
      </c>
      <c r="M97" s="22">
        <f t="shared" si="21"/>
        <v>0.5</v>
      </c>
      <c r="N97" s="22">
        <f t="shared" si="21"/>
        <v>0</v>
      </c>
      <c r="O97" s="22">
        <f t="shared" si="21"/>
        <v>93.7</v>
      </c>
      <c r="P97" s="22">
        <f t="shared" si="21"/>
        <v>0</v>
      </c>
      <c r="Q97" s="22">
        <f t="shared" si="21"/>
        <v>0</v>
      </c>
      <c r="R97" s="22">
        <f t="shared" si="21"/>
        <v>473.3</v>
      </c>
      <c r="S97" s="22">
        <f t="shared" si="21"/>
        <v>302.1</v>
      </c>
      <c r="T97" s="22">
        <f t="shared" si="21"/>
        <v>0</v>
      </c>
      <c r="U97" s="22">
        <f t="shared" si="21"/>
        <v>0</v>
      </c>
      <c r="V97" s="22">
        <f t="shared" si="21"/>
        <v>277</v>
      </c>
      <c r="W97" s="22">
        <f t="shared" si="21"/>
        <v>82</v>
      </c>
      <c r="X97" s="22">
        <f t="shared" si="21"/>
        <v>3.9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2307</v>
      </c>
      <c r="AG97" s="27">
        <f>B97+C97-AF97</f>
        <v>657.7999999999993</v>
      </c>
    </row>
    <row r="98" spans="1:33" ht="15.75">
      <c r="A98" s="3" t="s">
        <v>1</v>
      </c>
      <c r="B98" s="22">
        <f>B19+B28+B65+B35+B43+B56+B79</f>
        <v>4228</v>
      </c>
      <c r="C98" s="22">
        <f>C19+C28+C65+C35+C43+C56+C79</f>
        <v>2851.3999999999996</v>
      </c>
      <c r="D98" s="22">
        <f aca="true" t="shared" si="22" ref="D98:AD98">D19+D28+D65+D35+D43+D56+D79</f>
        <v>262.4</v>
      </c>
      <c r="E98" s="22">
        <f t="shared" si="22"/>
        <v>2.5</v>
      </c>
      <c r="F98" s="22">
        <f t="shared" si="22"/>
        <v>214.10000000000002</v>
      </c>
      <c r="G98" s="22">
        <f t="shared" si="22"/>
        <v>0</v>
      </c>
      <c r="H98" s="22">
        <f t="shared" si="22"/>
        <v>13</v>
      </c>
      <c r="I98" s="22">
        <f t="shared" si="22"/>
        <v>0</v>
      </c>
      <c r="J98" s="22">
        <f t="shared" si="22"/>
        <v>554.9</v>
      </c>
      <c r="K98" s="22">
        <f t="shared" si="22"/>
        <v>272.40000000000003</v>
      </c>
      <c r="L98" s="22">
        <f t="shared" si="22"/>
        <v>131</v>
      </c>
      <c r="M98" s="22">
        <f t="shared" si="22"/>
        <v>84.2</v>
      </c>
      <c r="N98" s="22">
        <f t="shared" si="22"/>
        <v>0</v>
      </c>
      <c r="O98" s="22">
        <f t="shared" si="22"/>
        <v>167.8</v>
      </c>
      <c r="P98" s="22">
        <f t="shared" si="22"/>
        <v>241.5</v>
      </c>
      <c r="Q98" s="22">
        <f t="shared" si="22"/>
        <v>244.3</v>
      </c>
      <c r="R98" s="22">
        <f t="shared" si="22"/>
        <v>335.2</v>
      </c>
      <c r="S98" s="22">
        <f t="shared" si="22"/>
        <v>2.6</v>
      </c>
      <c r="T98" s="22">
        <f t="shared" si="22"/>
        <v>720.8</v>
      </c>
      <c r="U98" s="22">
        <f t="shared" si="22"/>
        <v>274.8</v>
      </c>
      <c r="V98" s="22">
        <f t="shared" si="22"/>
        <v>338.6</v>
      </c>
      <c r="W98" s="22">
        <f t="shared" si="22"/>
        <v>92.7</v>
      </c>
      <c r="X98" s="22">
        <f t="shared" si="22"/>
        <v>304.9</v>
      </c>
      <c r="Y98" s="22">
        <f t="shared" si="22"/>
        <v>54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4311.7</v>
      </c>
      <c r="AG98" s="27">
        <f>B98+C98-AF98</f>
        <v>2767.7</v>
      </c>
    </row>
    <row r="99" spans="1:33" ht="15.75">
      <c r="A99" s="3" t="s">
        <v>17</v>
      </c>
      <c r="B99" s="22">
        <f>B21+B30+B49+B37+B58+B13+B75</f>
        <v>2177</v>
      </c>
      <c r="C99" s="22">
        <f>C21+C30+C49+C37+C58+C13+C75</f>
        <v>746</v>
      </c>
      <c r="D99" s="22">
        <f aca="true" t="shared" si="23" ref="D99:AD99">D21+D30+D49+D37+D58+D13+D75</f>
        <v>0</v>
      </c>
      <c r="E99" s="22">
        <f t="shared" si="23"/>
        <v>18</v>
      </c>
      <c r="F99" s="22">
        <f t="shared" si="23"/>
        <v>0</v>
      </c>
      <c r="G99" s="22">
        <f t="shared" si="23"/>
        <v>0</v>
      </c>
      <c r="H99" s="22">
        <f t="shared" si="23"/>
        <v>31.2</v>
      </c>
      <c r="I99" s="22">
        <f t="shared" si="23"/>
        <v>40.6</v>
      </c>
      <c r="J99" s="22">
        <f t="shared" si="23"/>
        <v>20.3</v>
      </c>
      <c r="K99" s="22">
        <f t="shared" si="23"/>
        <v>559.4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10.3</v>
      </c>
      <c r="P99" s="22">
        <f t="shared" si="23"/>
        <v>280.5</v>
      </c>
      <c r="Q99" s="22">
        <f t="shared" si="23"/>
        <v>24.8</v>
      </c>
      <c r="R99" s="22">
        <f t="shared" si="23"/>
        <v>432.7</v>
      </c>
      <c r="S99" s="22">
        <f t="shared" si="23"/>
        <v>0</v>
      </c>
      <c r="T99" s="22">
        <f t="shared" si="23"/>
        <v>473.8</v>
      </c>
      <c r="U99" s="22">
        <f t="shared" si="23"/>
        <v>0</v>
      </c>
      <c r="V99" s="22">
        <f t="shared" si="23"/>
        <v>35.4</v>
      </c>
      <c r="W99" s="22">
        <f t="shared" si="23"/>
        <v>19.1</v>
      </c>
      <c r="X99" s="22">
        <f t="shared" si="23"/>
        <v>212.8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2158.9</v>
      </c>
      <c r="AG99" s="27">
        <f>B99+C99-AF99</f>
        <v>764.0999999999999</v>
      </c>
    </row>
    <row r="100" spans="1:33" ht="12.75">
      <c r="A100" s="1" t="s">
        <v>41</v>
      </c>
      <c r="B100" s="2">
        <f aca="true" t="shared" si="24" ref="B100:U100">B94-B95-B96-B97-B98-B99</f>
        <v>33110.000000000015</v>
      </c>
      <c r="C100" s="2">
        <f t="shared" si="24"/>
        <v>7139.799999999994</v>
      </c>
      <c r="D100" s="2">
        <f t="shared" si="24"/>
        <v>1536.3000000000002</v>
      </c>
      <c r="E100" s="2">
        <f t="shared" si="24"/>
        <v>834.1999999999999</v>
      </c>
      <c r="F100" s="2">
        <f t="shared" si="24"/>
        <v>705.0999999999997</v>
      </c>
      <c r="G100" s="2">
        <f t="shared" si="24"/>
        <v>105.79999999999998</v>
      </c>
      <c r="H100" s="2">
        <f t="shared" si="24"/>
        <v>2520.5</v>
      </c>
      <c r="I100" s="2">
        <f t="shared" si="24"/>
        <v>1891.2000000000003</v>
      </c>
      <c r="J100" s="2">
        <f t="shared" si="24"/>
        <v>503.7000000000019</v>
      </c>
      <c r="K100" s="2">
        <f t="shared" si="24"/>
        <v>255.50000000000057</v>
      </c>
      <c r="L100" s="2">
        <f t="shared" si="24"/>
        <v>202.0999999999999</v>
      </c>
      <c r="M100" s="2">
        <f t="shared" si="24"/>
        <v>269.7</v>
      </c>
      <c r="N100" s="2">
        <f t="shared" si="24"/>
        <v>0</v>
      </c>
      <c r="O100" s="2">
        <f t="shared" si="24"/>
        <v>1840.3000000000004</v>
      </c>
      <c r="P100" s="2">
        <f t="shared" si="24"/>
        <v>1111.9</v>
      </c>
      <c r="Q100" s="2">
        <f t="shared" si="24"/>
        <v>52.2</v>
      </c>
      <c r="R100" s="2">
        <f t="shared" si="24"/>
        <v>1244.5999999999983</v>
      </c>
      <c r="S100" s="2">
        <f t="shared" si="24"/>
        <v>192.5000000000007</v>
      </c>
      <c r="T100" s="2">
        <f t="shared" si="24"/>
        <v>979.1000000000008</v>
      </c>
      <c r="U100" s="2">
        <f t="shared" si="24"/>
        <v>443.1000000000003</v>
      </c>
      <c r="V100" s="2"/>
      <c r="W100" s="2"/>
      <c r="X100" s="2">
        <f aca="true" t="shared" si="25" ref="X100:AD100">X94-X95-X96-X97-X98-X99</f>
        <v>5803.099999999999</v>
      </c>
      <c r="Y100" s="2">
        <f t="shared" si="25"/>
        <v>4961.9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28432.60000000003</v>
      </c>
      <c r="AG100" s="2">
        <f>AG94-AG95-AG96-AG97-AG98-AG99</f>
        <v>11817.200000000006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N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L76" sqref="AL7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59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58</v>
      </c>
      <c r="C4" s="9" t="s">
        <v>19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>
        <v>907</v>
      </c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8531.8</v>
      </c>
      <c r="D7" s="45"/>
      <c r="E7" s="46">
        <v>14369.6</v>
      </c>
      <c r="F7" s="46"/>
      <c r="G7" s="46"/>
      <c r="H7" s="74"/>
      <c r="I7" s="46"/>
      <c r="J7" s="47"/>
      <c r="K7" s="46">
        <v>14369.5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f>1955.8+5654.1</f>
        <v>7609.900000000001</v>
      </c>
      <c r="AF7" s="72"/>
      <c r="AG7" s="48"/>
    </row>
    <row r="8" spans="1:55" ht="18" customHeight="1">
      <c r="A8" s="60" t="s">
        <v>34</v>
      </c>
      <c r="B8" s="40">
        <f>SUM(D8:AB8)</f>
        <v>82921.6</v>
      </c>
      <c r="C8" s="40">
        <v>169171.4</v>
      </c>
      <c r="D8" s="43">
        <v>3666.9</v>
      </c>
      <c r="E8" s="55">
        <v>4329.7</v>
      </c>
      <c r="F8" s="55">
        <v>2210.9</v>
      </c>
      <c r="G8" s="55">
        <v>2877.6</v>
      </c>
      <c r="H8" s="55">
        <v>4036.4</v>
      </c>
      <c r="I8" s="55">
        <v>4445.7</v>
      </c>
      <c r="J8" s="56">
        <v>2066.3</v>
      </c>
      <c r="K8" s="55">
        <v>1664.7</v>
      </c>
      <c r="L8" s="55">
        <v>2489</v>
      </c>
      <c r="M8" s="55">
        <v>1718.4</v>
      </c>
      <c r="N8" s="55">
        <v>3893.7</v>
      </c>
      <c r="O8" s="55">
        <v>6515.3</v>
      </c>
      <c r="P8" s="55">
        <v>2409</v>
      </c>
      <c r="Q8" s="55">
        <v>3033.9</v>
      </c>
      <c r="R8" s="55">
        <v>3863.3</v>
      </c>
      <c r="S8" s="57">
        <v>2759.4</v>
      </c>
      <c r="T8" s="57">
        <v>4576</v>
      </c>
      <c r="U8" s="55">
        <v>3394.4</v>
      </c>
      <c r="V8" s="55">
        <v>3750.6</v>
      </c>
      <c r="W8" s="55">
        <v>7800.7</v>
      </c>
      <c r="X8" s="56">
        <v>11419.7</v>
      </c>
      <c r="Y8" s="56"/>
      <c r="Z8" s="56"/>
      <c r="AA8" s="56"/>
      <c r="AB8" s="55"/>
      <c r="AC8" s="23"/>
      <c r="AD8" s="23"/>
      <c r="AE8" s="61">
        <v>165000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144729.39999999997</v>
      </c>
      <c r="C9" s="24">
        <f t="shared" si="0"/>
        <v>28119.4</v>
      </c>
      <c r="D9" s="24">
        <f t="shared" si="0"/>
        <v>7595.5</v>
      </c>
      <c r="E9" s="24">
        <f t="shared" si="0"/>
        <v>1052.6000000000001</v>
      </c>
      <c r="F9" s="24">
        <f t="shared" si="0"/>
        <v>1149.8999999999999</v>
      </c>
      <c r="G9" s="24">
        <f t="shared" si="0"/>
        <v>4047.8</v>
      </c>
      <c r="H9" s="24">
        <f t="shared" si="0"/>
        <v>1177.9999999999998</v>
      </c>
      <c r="I9" s="24">
        <f t="shared" si="0"/>
        <v>1097.7</v>
      </c>
      <c r="J9" s="24">
        <f t="shared" si="0"/>
        <v>0</v>
      </c>
      <c r="K9" s="24">
        <f t="shared" si="0"/>
        <v>9910.899999999998</v>
      </c>
      <c r="L9" s="24">
        <f t="shared" si="0"/>
        <v>18840.600000000002</v>
      </c>
      <c r="M9" s="24">
        <f t="shared" si="0"/>
        <v>789.3</v>
      </c>
      <c r="N9" s="24">
        <f t="shared" si="0"/>
        <v>6755.4</v>
      </c>
      <c r="O9" s="24">
        <f t="shared" si="0"/>
        <v>2168.6000000000004</v>
      </c>
      <c r="P9" s="24">
        <f t="shared" si="0"/>
        <v>826.9000000000001</v>
      </c>
      <c r="Q9" s="24">
        <f t="shared" si="0"/>
        <v>6853.6</v>
      </c>
      <c r="R9" s="24">
        <f t="shared" si="0"/>
        <v>1826</v>
      </c>
      <c r="S9" s="24">
        <f t="shared" si="0"/>
        <v>1802.4999999999998</v>
      </c>
      <c r="T9" s="24">
        <f t="shared" si="0"/>
        <v>16880.5</v>
      </c>
      <c r="U9" s="24">
        <f t="shared" si="0"/>
        <v>10904</v>
      </c>
      <c r="V9" s="24">
        <f t="shared" si="0"/>
        <v>4537.000000000001</v>
      </c>
      <c r="W9" s="24">
        <f t="shared" si="0"/>
        <v>8017.9</v>
      </c>
      <c r="X9" s="24">
        <f t="shared" si="0"/>
        <v>11426.3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117661</v>
      </c>
      <c r="AG9" s="50">
        <f>AG10+AG15+AG24+AG33+AG47+AG52+AG54+AG61+AG62+AG71+AG72+AG76+AG88+AG81+AG83+AG82+AG69+AG89+AG91+AG90+AG70+AG40+AG92</f>
        <v>55187.799999999996</v>
      </c>
      <c r="AH9" s="49"/>
      <c r="AI9" s="49"/>
    </row>
    <row r="10" spans="1:33" ht="15.75">
      <c r="A10" s="4" t="s">
        <v>4</v>
      </c>
      <c r="B10" s="22">
        <v>5842.5</v>
      </c>
      <c r="C10" s="22">
        <v>1874.8</v>
      </c>
      <c r="D10" s="22"/>
      <c r="E10" s="22">
        <v>30.3</v>
      </c>
      <c r="F10" s="22">
        <v>12.6</v>
      </c>
      <c r="G10" s="22">
        <v>50.2</v>
      </c>
      <c r="H10" s="22">
        <v>8.7</v>
      </c>
      <c r="I10" s="22">
        <v>6.5</v>
      </c>
      <c r="J10" s="25"/>
      <c r="K10" s="22">
        <f>23.7+258.2</f>
        <v>281.9</v>
      </c>
      <c r="L10" s="22">
        <v>1104.1</v>
      </c>
      <c r="M10" s="22">
        <v>217</v>
      </c>
      <c r="N10" s="22">
        <v>47.2</v>
      </c>
      <c r="O10" s="27">
        <v>38.7</v>
      </c>
      <c r="P10" s="22">
        <v>94.2</v>
      </c>
      <c r="Q10" s="22">
        <v>137.4</v>
      </c>
      <c r="R10" s="22">
        <v>5.9</v>
      </c>
      <c r="S10" s="26">
        <v>28.3</v>
      </c>
      <c r="T10" s="26"/>
      <c r="U10" s="26">
        <v>414.8</v>
      </c>
      <c r="V10" s="26">
        <v>801.1</v>
      </c>
      <c r="W10" s="26">
        <v>1202.4</v>
      </c>
      <c r="X10" s="22">
        <v>4.8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4486.100000000001</v>
      </c>
      <c r="AG10" s="27">
        <f>B10+C10-AF10</f>
        <v>3231.199999999999</v>
      </c>
    </row>
    <row r="11" spans="1:33" ht="15.75">
      <c r="A11" s="3" t="s">
        <v>5</v>
      </c>
      <c r="B11" s="22">
        <v>4912.8</v>
      </c>
      <c r="C11" s="22">
        <v>828.2</v>
      </c>
      <c r="D11" s="22"/>
      <c r="E11" s="22">
        <v>6</v>
      </c>
      <c r="F11" s="22">
        <v>1.6</v>
      </c>
      <c r="G11" s="22">
        <v>40.8</v>
      </c>
      <c r="H11" s="22"/>
      <c r="I11" s="22">
        <v>5.9</v>
      </c>
      <c r="J11" s="26"/>
      <c r="K11" s="22">
        <v>249.6</v>
      </c>
      <c r="L11" s="22">
        <v>1081.7</v>
      </c>
      <c r="M11" s="22">
        <v>177.2</v>
      </c>
      <c r="N11" s="22">
        <v>15.5</v>
      </c>
      <c r="O11" s="27">
        <v>10.4</v>
      </c>
      <c r="P11" s="22"/>
      <c r="Q11" s="22">
        <v>2.1</v>
      </c>
      <c r="R11" s="22">
        <v>2.1</v>
      </c>
      <c r="S11" s="26"/>
      <c r="T11" s="26"/>
      <c r="U11" s="26">
        <v>390.2</v>
      </c>
      <c r="V11" s="26">
        <v>763.8</v>
      </c>
      <c r="W11" s="26">
        <v>1158.5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3905.3999999999996</v>
      </c>
      <c r="AG11" s="27">
        <f>B11+C11-AF11</f>
        <v>1835.6000000000004</v>
      </c>
    </row>
    <row r="12" spans="1:33" ht="15.75">
      <c r="A12" s="3" t="s">
        <v>2</v>
      </c>
      <c r="B12" s="36">
        <v>279.6</v>
      </c>
      <c r="C12" s="22">
        <v>445.6</v>
      </c>
      <c r="D12" s="22"/>
      <c r="E12" s="22"/>
      <c r="F12" s="22"/>
      <c r="G12" s="22">
        <v>2.4</v>
      </c>
      <c r="H12" s="22"/>
      <c r="I12" s="22"/>
      <c r="J12" s="26"/>
      <c r="K12" s="22">
        <v>1</v>
      </c>
      <c r="L12" s="22"/>
      <c r="M12" s="22"/>
      <c r="N12" s="22">
        <v>11.7</v>
      </c>
      <c r="O12" s="27">
        <v>14.7</v>
      </c>
      <c r="P12" s="22">
        <v>34.3</v>
      </c>
      <c r="Q12" s="22">
        <v>26.9</v>
      </c>
      <c r="R12" s="22"/>
      <c r="S12" s="26">
        <v>2.8</v>
      </c>
      <c r="T12" s="26"/>
      <c r="U12" s="26"/>
      <c r="V12" s="26"/>
      <c r="W12" s="26">
        <v>30.4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124.19999999999999</v>
      </c>
      <c r="AG12" s="27">
        <f>B12+C12-AF12</f>
        <v>601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650.0999999999998</v>
      </c>
      <c r="C14" s="22">
        <f t="shared" si="2"/>
        <v>600.9999999999999</v>
      </c>
      <c r="D14" s="22">
        <f t="shared" si="2"/>
        <v>0</v>
      </c>
      <c r="E14" s="22">
        <f t="shared" si="2"/>
        <v>24.3</v>
      </c>
      <c r="F14" s="22">
        <f t="shared" si="2"/>
        <v>11</v>
      </c>
      <c r="G14" s="22">
        <f t="shared" si="2"/>
        <v>7.000000000000005</v>
      </c>
      <c r="H14" s="22">
        <f t="shared" si="2"/>
        <v>8.7</v>
      </c>
      <c r="I14" s="22">
        <f t="shared" si="2"/>
        <v>0.5999999999999996</v>
      </c>
      <c r="J14" s="22">
        <f t="shared" si="2"/>
        <v>0</v>
      </c>
      <c r="K14" s="22">
        <f t="shared" si="2"/>
        <v>31.299999999999983</v>
      </c>
      <c r="L14" s="22">
        <f t="shared" si="2"/>
        <v>22.399999999999864</v>
      </c>
      <c r="M14" s="22">
        <f t="shared" si="2"/>
        <v>39.80000000000001</v>
      </c>
      <c r="N14" s="22">
        <f t="shared" si="2"/>
        <v>20.000000000000004</v>
      </c>
      <c r="O14" s="22">
        <f t="shared" si="2"/>
        <v>13.600000000000005</v>
      </c>
      <c r="P14" s="22">
        <f t="shared" si="2"/>
        <v>59.900000000000006</v>
      </c>
      <c r="Q14" s="22">
        <f t="shared" si="2"/>
        <v>108.4</v>
      </c>
      <c r="R14" s="22">
        <f t="shared" si="2"/>
        <v>3.8000000000000003</v>
      </c>
      <c r="S14" s="22">
        <f t="shared" si="2"/>
        <v>25.5</v>
      </c>
      <c r="T14" s="22">
        <f t="shared" si="2"/>
        <v>0</v>
      </c>
      <c r="U14" s="22">
        <f t="shared" si="2"/>
        <v>24.600000000000023</v>
      </c>
      <c r="V14" s="22">
        <f t="shared" si="2"/>
        <v>37.30000000000007</v>
      </c>
      <c r="W14" s="22">
        <f t="shared" si="2"/>
        <v>13.500000000000092</v>
      </c>
      <c r="X14" s="22">
        <f t="shared" si="2"/>
        <v>4.8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456.5000000000001</v>
      </c>
      <c r="AG14" s="27">
        <f>AG10-AG11-AG12-AG13</f>
        <v>794.5999999999985</v>
      </c>
    </row>
    <row r="15" spans="1:33" ht="15" customHeight="1">
      <c r="A15" s="4" t="s">
        <v>6</v>
      </c>
      <c r="B15" s="22">
        <f>34176.2+1100.6+0.3</f>
        <v>35277.1</v>
      </c>
      <c r="C15" s="22">
        <f>13869.6-54</f>
        <v>13815.6</v>
      </c>
      <c r="D15" s="44">
        <v>289.2</v>
      </c>
      <c r="E15" s="44">
        <v>375.2</v>
      </c>
      <c r="F15" s="22">
        <v>3.5</v>
      </c>
      <c r="G15" s="22"/>
      <c r="H15" s="22">
        <v>816.6</v>
      </c>
      <c r="I15" s="22"/>
      <c r="J15" s="26"/>
      <c r="K15" s="22">
        <f>1693+5225.2</f>
        <v>6918.2</v>
      </c>
      <c r="L15" s="22">
        <v>7119.8</v>
      </c>
      <c r="M15" s="22"/>
      <c r="N15" s="22"/>
      <c r="O15" s="27">
        <v>953.9</v>
      </c>
      <c r="P15" s="22">
        <v>23.9</v>
      </c>
      <c r="Q15" s="27">
        <v>435.6</v>
      </c>
      <c r="R15" s="22">
        <v>590.3</v>
      </c>
      <c r="S15" s="26">
        <v>267.1</v>
      </c>
      <c r="T15" s="26">
        <v>7321.6</v>
      </c>
      <c r="U15" s="26">
        <v>7083.6</v>
      </c>
      <c r="V15" s="26">
        <v>846.3</v>
      </c>
      <c r="W15" s="26">
        <v>1133</v>
      </c>
      <c r="X15" s="22">
        <v>0.2</v>
      </c>
      <c r="Y15" s="26"/>
      <c r="Z15" s="26"/>
      <c r="AA15" s="26"/>
      <c r="AB15" s="22"/>
      <c r="AC15" s="22"/>
      <c r="AD15" s="22"/>
      <c r="AE15" s="22"/>
      <c r="AF15" s="27">
        <f t="shared" si="1"/>
        <v>34178</v>
      </c>
      <c r="AG15" s="27">
        <f aca="true" t="shared" si="3" ref="AG15:AG31">B15+C15-AF15</f>
        <v>14914.699999999997</v>
      </c>
    </row>
    <row r="16" spans="1:34" s="70" customFormat="1" ht="15" customHeight="1">
      <c r="A16" s="65" t="s">
        <v>46</v>
      </c>
      <c r="B16" s="66">
        <f>13610.5+1100.6</f>
        <v>14711.1</v>
      </c>
      <c r="C16" s="66">
        <v>1114.4</v>
      </c>
      <c r="D16" s="67"/>
      <c r="E16" s="67">
        <v>200.9</v>
      </c>
      <c r="F16" s="66">
        <v>3.5</v>
      </c>
      <c r="G16" s="66"/>
      <c r="H16" s="66"/>
      <c r="I16" s="66"/>
      <c r="J16" s="68"/>
      <c r="K16" s="66">
        <v>875.7</v>
      </c>
      <c r="L16" s="66">
        <v>5583.4</v>
      </c>
      <c r="M16" s="66"/>
      <c r="N16" s="66"/>
      <c r="O16" s="69">
        <v>116.6</v>
      </c>
      <c r="P16" s="66">
        <v>1.2</v>
      </c>
      <c r="Q16" s="69">
        <v>51</v>
      </c>
      <c r="R16" s="66"/>
      <c r="S16" s="68">
        <v>154.1</v>
      </c>
      <c r="T16" s="68">
        <v>185</v>
      </c>
      <c r="U16" s="68">
        <v>7008.2</v>
      </c>
      <c r="V16" s="68">
        <v>781.4</v>
      </c>
      <c r="W16" s="68">
        <v>9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14970</v>
      </c>
      <c r="AG16" s="71">
        <f t="shared" si="3"/>
        <v>855.5</v>
      </c>
      <c r="AH16" s="75"/>
    </row>
    <row r="17" spans="1:34" ht="15.75">
      <c r="A17" s="3" t="s">
        <v>5</v>
      </c>
      <c r="B17" s="22">
        <v>23701.6</v>
      </c>
      <c r="C17" s="22">
        <v>1228.4</v>
      </c>
      <c r="D17" s="22"/>
      <c r="E17" s="22"/>
      <c r="F17" s="22">
        <v>3.5</v>
      </c>
      <c r="G17" s="22"/>
      <c r="H17" s="22">
        <v>12.8</v>
      </c>
      <c r="I17" s="22"/>
      <c r="J17" s="26"/>
      <c r="K17" s="22">
        <v>5216.4</v>
      </c>
      <c r="L17" s="22">
        <v>5594.6</v>
      </c>
      <c r="M17" s="22"/>
      <c r="N17" s="22"/>
      <c r="O17" s="27"/>
      <c r="P17" s="22"/>
      <c r="Q17" s="27"/>
      <c r="R17" s="22"/>
      <c r="S17" s="26"/>
      <c r="T17" s="26">
        <v>5651.4</v>
      </c>
      <c r="U17" s="26">
        <v>7023.1</v>
      </c>
      <c r="V17" s="26"/>
      <c r="W17" s="26">
        <v>2.4</v>
      </c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23504.199999999997</v>
      </c>
      <c r="AG17" s="27">
        <f t="shared" si="3"/>
        <v>1425.800000000003</v>
      </c>
      <c r="AH17" s="6"/>
    </row>
    <row r="18" spans="1:33" ht="15.75">
      <c r="A18" s="3" t="s">
        <v>3</v>
      </c>
      <c r="B18" s="22">
        <v>18</v>
      </c>
      <c r="C18" s="22">
        <v>3.4</v>
      </c>
      <c r="D18" s="22"/>
      <c r="E18" s="22"/>
      <c r="F18" s="22"/>
      <c r="G18" s="22"/>
      <c r="H18" s="22"/>
      <c r="I18" s="22"/>
      <c r="J18" s="26"/>
      <c r="K18" s="22">
        <v>1.2</v>
      </c>
      <c r="L18" s="22"/>
      <c r="M18" s="22"/>
      <c r="N18" s="22"/>
      <c r="O18" s="27">
        <v>1.8</v>
      </c>
      <c r="P18" s="22"/>
      <c r="Q18" s="27"/>
      <c r="R18" s="22"/>
      <c r="S18" s="26">
        <v>1.6</v>
      </c>
      <c r="T18" s="26">
        <v>0.7</v>
      </c>
      <c r="U18" s="26"/>
      <c r="V18" s="26">
        <v>2</v>
      </c>
      <c r="W18" s="26">
        <v>3.7</v>
      </c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11</v>
      </c>
      <c r="AG18" s="27">
        <f t="shared" si="3"/>
        <v>10.399999999999999</v>
      </c>
    </row>
    <row r="19" spans="1:33" ht="15.75">
      <c r="A19" s="3" t="s">
        <v>1</v>
      </c>
      <c r="B19" s="22">
        <v>3819.9</v>
      </c>
      <c r="C19" s="22">
        <f>2788.9-54</f>
        <v>2734.9</v>
      </c>
      <c r="D19" s="22">
        <v>252.1</v>
      </c>
      <c r="E19" s="22">
        <v>59.6</v>
      </c>
      <c r="F19" s="22"/>
      <c r="G19" s="22"/>
      <c r="H19" s="22">
        <v>339.9</v>
      </c>
      <c r="I19" s="22"/>
      <c r="J19" s="26"/>
      <c r="K19" s="22">
        <f>327.5+6.9</f>
        <v>334.4</v>
      </c>
      <c r="L19" s="22">
        <v>10.8</v>
      </c>
      <c r="M19" s="22"/>
      <c r="N19" s="22"/>
      <c r="O19" s="27">
        <v>311</v>
      </c>
      <c r="P19" s="22">
        <v>12.3</v>
      </c>
      <c r="Q19" s="27">
        <v>27.2</v>
      </c>
      <c r="R19" s="22">
        <v>155.4</v>
      </c>
      <c r="S19" s="26">
        <v>21.3</v>
      </c>
      <c r="T19" s="26">
        <v>553</v>
      </c>
      <c r="U19" s="26">
        <v>37.1</v>
      </c>
      <c r="V19" s="26">
        <v>38.4</v>
      </c>
      <c r="W19" s="26">
        <v>755.2</v>
      </c>
      <c r="X19" s="22">
        <v>0.1</v>
      </c>
      <c r="Y19" s="26"/>
      <c r="Z19" s="26"/>
      <c r="AA19" s="26"/>
      <c r="AB19" s="22"/>
      <c r="AC19" s="22"/>
      <c r="AD19" s="22"/>
      <c r="AE19" s="22"/>
      <c r="AF19" s="27">
        <f t="shared" si="1"/>
        <v>2907.7999999999997</v>
      </c>
      <c r="AG19" s="27">
        <f t="shared" si="3"/>
        <v>3647.0000000000005</v>
      </c>
    </row>
    <row r="20" spans="1:33" ht="15.75">
      <c r="A20" s="3" t="s">
        <v>2</v>
      </c>
      <c r="B20" s="22">
        <f>4105.6+544.1-0.3</f>
        <v>4649.400000000001</v>
      </c>
      <c r="C20" s="22">
        <v>7591.2</v>
      </c>
      <c r="D20" s="22">
        <v>21</v>
      </c>
      <c r="E20" s="22">
        <v>264.2</v>
      </c>
      <c r="F20" s="22"/>
      <c r="G20" s="22"/>
      <c r="H20" s="22">
        <v>174.1</v>
      </c>
      <c r="I20" s="22"/>
      <c r="J20" s="26"/>
      <c r="K20" s="22">
        <v>1212.5</v>
      </c>
      <c r="L20" s="22">
        <f>1346.4-319.6</f>
        <v>1026.8000000000002</v>
      </c>
      <c r="M20" s="22"/>
      <c r="N20" s="22"/>
      <c r="O20" s="27">
        <v>409.3</v>
      </c>
      <c r="P20" s="22">
        <v>10.1</v>
      </c>
      <c r="Q20" s="27">
        <v>150.1</v>
      </c>
      <c r="R20" s="22"/>
      <c r="S20" s="26">
        <v>166.6</v>
      </c>
      <c r="T20" s="26">
        <v>780.1</v>
      </c>
      <c r="U20" s="26">
        <v>0.2</v>
      </c>
      <c r="V20" s="26">
        <v>798.9</v>
      </c>
      <c r="W20" s="26">
        <v>370.2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5384.099999999999</v>
      </c>
      <c r="AG20" s="27">
        <f t="shared" si="3"/>
        <v>6856.500000000001</v>
      </c>
    </row>
    <row r="21" spans="1:33" ht="15.75">
      <c r="A21" s="3" t="s">
        <v>17</v>
      </c>
      <c r="B21" s="22">
        <v>1105.3</v>
      </c>
      <c r="C21" s="22">
        <v>268.6</v>
      </c>
      <c r="D21" s="22"/>
      <c r="E21" s="22">
        <v>1.2</v>
      </c>
      <c r="F21" s="22"/>
      <c r="G21" s="22"/>
      <c r="H21" s="22">
        <v>3.8</v>
      </c>
      <c r="I21" s="22"/>
      <c r="J21" s="26"/>
      <c r="K21" s="22">
        <f>248.9-229.8</f>
        <v>19.099999999999994</v>
      </c>
      <c r="L21" s="22">
        <v>319.6</v>
      </c>
      <c r="M21" s="22"/>
      <c r="N21" s="22"/>
      <c r="O21" s="27">
        <v>33.1</v>
      </c>
      <c r="P21" s="22"/>
      <c r="Q21" s="27">
        <v>186</v>
      </c>
      <c r="R21" s="22">
        <v>278</v>
      </c>
      <c r="S21" s="26"/>
      <c r="T21" s="26">
        <v>233.1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1073.9</v>
      </c>
      <c r="AG21" s="27">
        <f t="shared" si="3"/>
        <v>300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1982.8999999999999</v>
      </c>
      <c r="C23" s="22">
        <f t="shared" si="4"/>
        <v>1989.1000000000017</v>
      </c>
      <c r="D23" s="22">
        <f t="shared" si="4"/>
        <v>16.099999999999994</v>
      </c>
      <c r="E23" s="22">
        <f t="shared" si="4"/>
        <v>50.199999999999974</v>
      </c>
      <c r="F23" s="22">
        <f t="shared" si="4"/>
        <v>0</v>
      </c>
      <c r="G23" s="22">
        <f t="shared" si="4"/>
        <v>0</v>
      </c>
      <c r="H23" s="22">
        <f t="shared" si="4"/>
        <v>286.00000000000006</v>
      </c>
      <c r="I23" s="22">
        <f t="shared" si="4"/>
        <v>0</v>
      </c>
      <c r="J23" s="22">
        <f t="shared" si="4"/>
        <v>0</v>
      </c>
      <c r="K23" s="22">
        <f t="shared" si="4"/>
        <v>134.60000000000028</v>
      </c>
      <c r="L23" s="22">
        <f t="shared" si="4"/>
        <v>167.99999999999966</v>
      </c>
      <c r="M23" s="22">
        <f t="shared" si="4"/>
        <v>0</v>
      </c>
      <c r="N23" s="22">
        <f t="shared" si="4"/>
        <v>0</v>
      </c>
      <c r="O23" s="22">
        <f t="shared" si="4"/>
        <v>198.70000000000002</v>
      </c>
      <c r="P23" s="22">
        <f t="shared" si="4"/>
        <v>1.4999999999999982</v>
      </c>
      <c r="Q23" s="22">
        <f t="shared" si="4"/>
        <v>72.30000000000007</v>
      </c>
      <c r="R23" s="22">
        <f t="shared" si="4"/>
        <v>156.89999999999998</v>
      </c>
      <c r="S23" s="22">
        <f t="shared" si="4"/>
        <v>77.6</v>
      </c>
      <c r="T23" s="22">
        <f t="shared" si="4"/>
        <v>103.30000000000067</v>
      </c>
      <c r="U23" s="22">
        <f t="shared" si="4"/>
        <v>23.2</v>
      </c>
      <c r="V23" s="22">
        <f t="shared" si="4"/>
        <v>7</v>
      </c>
      <c r="W23" s="22">
        <f t="shared" si="4"/>
        <v>1.4999999999998295</v>
      </c>
      <c r="X23" s="22">
        <f t="shared" si="4"/>
        <v>0.1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1297.0000000000005</v>
      </c>
      <c r="AG23" s="27">
        <f t="shared" si="3"/>
        <v>2675.0000000000014</v>
      </c>
    </row>
    <row r="24" spans="1:33" ht="15" customHeight="1">
      <c r="A24" s="4" t="s">
        <v>7</v>
      </c>
      <c r="B24" s="22">
        <v>22277.3</v>
      </c>
      <c r="C24" s="22">
        <v>4138.9</v>
      </c>
      <c r="D24" s="22"/>
      <c r="E24" s="22"/>
      <c r="F24" s="22"/>
      <c r="G24" s="22">
        <v>1436.1</v>
      </c>
      <c r="H24" s="22"/>
      <c r="I24" s="22"/>
      <c r="J24" s="26"/>
      <c r="K24" s="22"/>
      <c r="L24" s="22">
        <v>8061.5</v>
      </c>
      <c r="M24" s="22">
        <v>2.5</v>
      </c>
      <c r="N24" s="22"/>
      <c r="O24" s="27">
        <v>534.2</v>
      </c>
      <c r="P24" s="22">
        <v>673.6</v>
      </c>
      <c r="Q24" s="27">
        <v>6.2</v>
      </c>
      <c r="R24" s="27"/>
      <c r="S24" s="26"/>
      <c r="T24" s="26">
        <v>8039.3</v>
      </c>
      <c r="U24" s="26">
        <v>2467.1</v>
      </c>
      <c r="V24" s="26">
        <v>4.9</v>
      </c>
      <c r="W24" s="26">
        <v>257.2</v>
      </c>
      <c r="X24" s="22">
        <f>30.4+6.9</f>
        <v>37.3</v>
      </c>
      <c r="Y24" s="26"/>
      <c r="Z24" s="26"/>
      <c r="AA24" s="26"/>
      <c r="AB24" s="22"/>
      <c r="AC24" s="22"/>
      <c r="AD24" s="22"/>
      <c r="AE24" s="22"/>
      <c r="AF24" s="27">
        <f t="shared" si="1"/>
        <v>21519.9</v>
      </c>
      <c r="AG24" s="27">
        <f t="shared" si="3"/>
        <v>4896.299999999996</v>
      </c>
    </row>
    <row r="25" spans="1:34" s="70" customFormat="1" ht="15" customHeight="1">
      <c r="A25" s="65" t="s">
        <v>47</v>
      </c>
      <c r="B25" s="66">
        <v>15128.6</v>
      </c>
      <c r="C25" s="66">
        <f>2389.5+25.1</f>
        <v>2414.6</v>
      </c>
      <c r="D25" s="66"/>
      <c r="E25" s="66"/>
      <c r="F25" s="66"/>
      <c r="G25" s="66">
        <v>1269.6</v>
      </c>
      <c r="H25" s="66"/>
      <c r="I25" s="66"/>
      <c r="J25" s="68"/>
      <c r="K25" s="66"/>
      <c r="L25" s="66">
        <v>7891.8</v>
      </c>
      <c r="M25" s="66">
        <v>2.5</v>
      </c>
      <c r="N25" s="66"/>
      <c r="O25" s="69">
        <v>349.5</v>
      </c>
      <c r="P25" s="66">
        <v>267.7</v>
      </c>
      <c r="Q25" s="69">
        <v>2.8</v>
      </c>
      <c r="R25" s="69"/>
      <c r="S25" s="68"/>
      <c r="T25" s="68">
        <v>4392.2</v>
      </c>
      <c r="U25" s="68">
        <v>294.9</v>
      </c>
      <c r="V25" s="68">
        <v>4.9</v>
      </c>
      <c r="W25" s="68">
        <v>208.1</v>
      </c>
      <c r="X25" s="66">
        <v>6.9</v>
      </c>
      <c r="Y25" s="68"/>
      <c r="Z25" s="68"/>
      <c r="AA25" s="68"/>
      <c r="AB25" s="66"/>
      <c r="AC25" s="66"/>
      <c r="AD25" s="66"/>
      <c r="AE25" s="66"/>
      <c r="AF25" s="71">
        <f t="shared" si="1"/>
        <v>14690.899999999998</v>
      </c>
      <c r="AG25" s="71">
        <f t="shared" si="3"/>
        <v>2852.300000000003</v>
      </c>
      <c r="AH25" s="75"/>
    </row>
    <row r="26" spans="1:34" ht="15.75">
      <c r="A26" s="3" t="s">
        <v>5</v>
      </c>
      <c r="B26" s="22">
        <f>15338.8+16.4</f>
        <v>15355.199999999999</v>
      </c>
      <c r="C26" s="22">
        <v>1271</v>
      </c>
      <c r="D26" s="22"/>
      <c r="E26" s="22"/>
      <c r="F26" s="22"/>
      <c r="G26" s="22"/>
      <c r="H26" s="22"/>
      <c r="I26" s="22"/>
      <c r="J26" s="26"/>
      <c r="K26" s="22"/>
      <c r="L26" s="22">
        <v>6036.7</v>
      </c>
      <c r="M26" s="22"/>
      <c r="N26" s="22"/>
      <c r="O26" s="27"/>
      <c r="P26" s="22">
        <v>16.8</v>
      </c>
      <c r="Q26" s="27"/>
      <c r="R26" s="22"/>
      <c r="S26" s="26"/>
      <c r="T26" s="26">
        <v>6839</v>
      </c>
      <c r="U26" s="26">
        <v>2416.2</v>
      </c>
      <c r="V26" s="26"/>
      <c r="W26" s="26">
        <v>22.3</v>
      </c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15331</v>
      </c>
      <c r="AG26" s="27">
        <f t="shared" si="3"/>
        <v>1295.199999999997</v>
      </c>
      <c r="AH26" s="6"/>
    </row>
    <row r="27" spans="1:33" ht="15.75">
      <c r="A27" s="3" t="s">
        <v>3</v>
      </c>
      <c r="B27" s="22">
        <v>2992.3</v>
      </c>
      <c r="C27" s="22">
        <v>654.4</v>
      </c>
      <c r="D27" s="22"/>
      <c r="E27" s="22"/>
      <c r="F27" s="22"/>
      <c r="G27" s="22">
        <v>35</v>
      </c>
      <c r="H27" s="22"/>
      <c r="I27" s="22"/>
      <c r="J27" s="26"/>
      <c r="K27" s="22"/>
      <c r="L27" s="22">
        <v>464.9</v>
      </c>
      <c r="M27" s="22">
        <v>2.5</v>
      </c>
      <c r="N27" s="22"/>
      <c r="O27" s="27">
        <v>307.7</v>
      </c>
      <c r="P27" s="22">
        <v>447</v>
      </c>
      <c r="Q27" s="27">
        <v>3.4</v>
      </c>
      <c r="R27" s="22"/>
      <c r="S27" s="26"/>
      <c r="T27" s="26">
        <v>846</v>
      </c>
      <c r="U27" s="26">
        <v>41.6</v>
      </c>
      <c r="V27" s="26"/>
      <c r="W27" s="26">
        <v>81.5</v>
      </c>
      <c r="X27" s="22">
        <v>37.3</v>
      </c>
      <c r="Y27" s="26"/>
      <c r="Z27" s="26"/>
      <c r="AA27" s="26"/>
      <c r="AB27" s="22"/>
      <c r="AC27" s="22"/>
      <c r="AD27" s="22"/>
      <c r="AE27" s="22"/>
      <c r="AF27" s="27">
        <f t="shared" si="1"/>
        <v>2266.9</v>
      </c>
      <c r="AG27" s="27">
        <f t="shared" si="3"/>
        <v>1379.8000000000002</v>
      </c>
    </row>
    <row r="28" spans="1:33" ht="15.75">
      <c r="A28" s="3" t="s">
        <v>1</v>
      </c>
      <c r="B28" s="22">
        <v>347.5</v>
      </c>
      <c r="C28" s="22">
        <v>0</v>
      </c>
      <c r="D28" s="22"/>
      <c r="E28" s="22"/>
      <c r="F28" s="22"/>
      <c r="G28" s="22">
        <v>23.7</v>
      </c>
      <c r="H28" s="22"/>
      <c r="I28" s="22"/>
      <c r="J28" s="26"/>
      <c r="K28" s="22"/>
      <c r="L28" s="22">
        <v>90.2</v>
      </c>
      <c r="M28" s="22"/>
      <c r="N28" s="22"/>
      <c r="O28" s="27">
        <v>22.1</v>
      </c>
      <c r="P28" s="22">
        <v>28.3</v>
      </c>
      <c r="Q28" s="27"/>
      <c r="R28" s="22"/>
      <c r="S28" s="26"/>
      <c r="T28" s="26">
        <v>93.7</v>
      </c>
      <c r="U28" s="26"/>
      <c r="V28" s="26"/>
      <c r="W28" s="26">
        <v>27.2</v>
      </c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285.2</v>
      </c>
      <c r="AG28" s="27">
        <f t="shared" si="3"/>
        <v>62.30000000000001</v>
      </c>
    </row>
    <row r="29" spans="1:33" ht="15.75">
      <c r="A29" s="3" t="s">
        <v>2</v>
      </c>
      <c r="B29" s="22">
        <f>2908.9-16.4</f>
        <v>2892.5</v>
      </c>
      <c r="C29" s="22">
        <v>1618.8</v>
      </c>
      <c r="D29" s="22"/>
      <c r="E29" s="22"/>
      <c r="F29" s="22"/>
      <c r="G29" s="22">
        <v>1104.8</v>
      </c>
      <c r="H29" s="22"/>
      <c r="I29" s="22"/>
      <c r="J29" s="26"/>
      <c r="K29" s="22"/>
      <c r="L29" s="22">
        <v>1285.8</v>
      </c>
      <c r="M29" s="22"/>
      <c r="N29" s="22"/>
      <c r="O29" s="27">
        <v>113</v>
      </c>
      <c r="P29" s="22">
        <v>130.6</v>
      </c>
      <c r="Q29" s="27"/>
      <c r="R29" s="22"/>
      <c r="S29" s="26"/>
      <c r="T29" s="26">
        <v>146.2</v>
      </c>
      <c r="U29" s="26"/>
      <c r="V29" s="26"/>
      <c r="W29" s="26">
        <v>28.7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2809.0999999999995</v>
      </c>
      <c r="AG29" s="27">
        <f t="shared" si="3"/>
        <v>1702.2000000000007</v>
      </c>
    </row>
    <row r="30" spans="1:33" ht="15.75">
      <c r="A30" s="3" t="s">
        <v>17</v>
      </c>
      <c r="B30" s="22">
        <v>134.2</v>
      </c>
      <c r="C30" s="22">
        <v>17.3</v>
      </c>
      <c r="D30" s="22"/>
      <c r="E30" s="22"/>
      <c r="F30" s="22"/>
      <c r="G30" s="22"/>
      <c r="H30" s="22"/>
      <c r="I30" s="22"/>
      <c r="J30" s="26"/>
      <c r="K30" s="22"/>
      <c r="L30" s="22">
        <v>27.3</v>
      </c>
      <c r="M30" s="22"/>
      <c r="N30" s="22"/>
      <c r="O30" s="27">
        <v>71.1</v>
      </c>
      <c r="P30" s="22">
        <v>31.4</v>
      </c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129.79999999999998</v>
      </c>
      <c r="AG30" s="27">
        <f t="shared" si="3"/>
        <v>21.700000000000017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555.6000000000001</v>
      </c>
      <c r="C32" s="22">
        <f t="shared" si="5"/>
        <v>577.3999999999996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272.5999999999999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156.60000000000008</v>
      </c>
      <c r="M32" s="22">
        <f t="shared" si="5"/>
        <v>0</v>
      </c>
      <c r="N32" s="22">
        <f t="shared" si="5"/>
        <v>0</v>
      </c>
      <c r="O32" s="22">
        <f t="shared" si="5"/>
        <v>20.300000000000068</v>
      </c>
      <c r="P32" s="22">
        <f t="shared" si="5"/>
        <v>19.500000000000064</v>
      </c>
      <c r="Q32" s="22">
        <f t="shared" si="5"/>
        <v>2.8000000000000003</v>
      </c>
      <c r="R32" s="22">
        <f t="shared" si="5"/>
        <v>0</v>
      </c>
      <c r="S32" s="22">
        <f t="shared" si="5"/>
        <v>0</v>
      </c>
      <c r="T32" s="22">
        <f t="shared" si="5"/>
        <v>114.4000000000002</v>
      </c>
      <c r="U32" s="22">
        <f t="shared" si="5"/>
        <v>9.30000000000009</v>
      </c>
      <c r="V32" s="22">
        <f t="shared" si="5"/>
        <v>4.9</v>
      </c>
      <c r="W32" s="22">
        <f t="shared" si="5"/>
        <v>97.49999999999997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697.9000000000003</v>
      </c>
      <c r="AG32" s="27">
        <f>AG24-AG26-AG27-AG28-AG29-AG30-AG31</f>
        <v>435.0999999999974</v>
      </c>
    </row>
    <row r="33" spans="1:33" ht="15" customHeight="1">
      <c r="A33" s="4" t="s">
        <v>8</v>
      </c>
      <c r="B33" s="22">
        <f>228.8+49.9-0.1</f>
        <v>278.59999999999997</v>
      </c>
      <c r="C33" s="22">
        <v>119</v>
      </c>
      <c r="D33" s="22"/>
      <c r="E33" s="22"/>
      <c r="F33" s="22">
        <v>0.2</v>
      </c>
      <c r="G33" s="22">
        <v>2.7</v>
      </c>
      <c r="H33" s="22"/>
      <c r="I33" s="22"/>
      <c r="J33" s="26"/>
      <c r="K33" s="22">
        <v>44.1</v>
      </c>
      <c r="L33" s="22"/>
      <c r="M33" s="22">
        <v>47.3</v>
      </c>
      <c r="N33" s="22"/>
      <c r="O33" s="27"/>
      <c r="P33" s="22"/>
      <c r="Q33" s="27"/>
      <c r="R33" s="22"/>
      <c r="S33" s="26"/>
      <c r="T33" s="26">
        <v>140.1</v>
      </c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234.39999999999998</v>
      </c>
      <c r="AG33" s="27">
        <f aca="true" t="shared" si="6" ref="AG33:AG38">B33+C33-AF33</f>
        <v>163.2</v>
      </c>
    </row>
    <row r="34" spans="1:33" ht="15.75">
      <c r="A34" s="3" t="s">
        <v>5</v>
      </c>
      <c r="B34" s="22">
        <f>124.1+49.9</f>
        <v>174</v>
      </c>
      <c r="C34" s="22">
        <v>3.1</v>
      </c>
      <c r="D34" s="22"/>
      <c r="E34" s="22"/>
      <c r="F34" s="22"/>
      <c r="G34" s="22"/>
      <c r="H34" s="22"/>
      <c r="I34" s="22"/>
      <c r="J34" s="26"/>
      <c r="K34" s="22">
        <v>44.1</v>
      </c>
      <c r="L34" s="22"/>
      <c r="M34" s="22"/>
      <c r="N34" s="22"/>
      <c r="O34" s="22"/>
      <c r="P34" s="22"/>
      <c r="Q34" s="27"/>
      <c r="R34" s="22"/>
      <c r="S34" s="26"/>
      <c r="T34" s="26">
        <v>125.7</v>
      </c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169.8</v>
      </c>
      <c r="AG34" s="27">
        <f t="shared" si="6"/>
        <v>7.299999999999983</v>
      </c>
    </row>
    <row r="35" spans="1:33" ht="15.75">
      <c r="A35" s="3" t="s">
        <v>1</v>
      </c>
      <c r="B35" s="22">
        <v>0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90.7</v>
      </c>
      <c r="C36" s="22">
        <v>96.4</v>
      </c>
      <c r="D36" s="22"/>
      <c r="E36" s="22"/>
      <c r="F36" s="22"/>
      <c r="G36" s="22"/>
      <c r="H36" s="22"/>
      <c r="I36" s="22"/>
      <c r="J36" s="26"/>
      <c r="K36" s="22"/>
      <c r="L36" s="22"/>
      <c r="M36" s="22">
        <v>46.3</v>
      </c>
      <c r="N36" s="22"/>
      <c r="O36" s="27"/>
      <c r="P36" s="22"/>
      <c r="Q36" s="27"/>
      <c r="R36" s="22"/>
      <c r="S36" s="26"/>
      <c r="T36" s="26">
        <v>9</v>
      </c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55.3</v>
      </c>
      <c r="AG36" s="27">
        <f t="shared" si="6"/>
        <v>131.8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13.899999999999963</v>
      </c>
      <c r="C39" s="22">
        <f t="shared" si="7"/>
        <v>19.5</v>
      </c>
      <c r="D39" s="22">
        <f t="shared" si="7"/>
        <v>0</v>
      </c>
      <c r="E39" s="22">
        <f t="shared" si="7"/>
        <v>0</v>
      </c>
      <c r="F39" s="22">
        <f t="shared" si="7"/>
        <v>0.2</v>
      </c>
      <c r="G39" s="22">
        <f t="shared" si="7"/>
        <v>2.7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1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5.3999999999999915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9.299999999999992</v>
      </c>
      <c r="AG39" s="27">
        <f>AG33-AG34-AG36-AG38-AG35-AG37</f>
        <v>24.099999999999994</v>
      </c>
    </row>
    <row r="40" spans="1:33" ht="15" customHeight="1">
      <c r="A40" s="4" t="s">
        <v>33</v>
      </c>
      <c r="B40" s="22">
        <v>655.4</v>
      </c>
      <c r="C40" s="22">
        <v>96.5</v>
      </c>
      <c r="D40" s="22"/>
      <c r="E40" s="22"/>
      <c r="F40" s="22"/>
      <c r="G40" s="22"/>
      <c r="H40" s="22"/>
      <c r="I40" s="22">
        <v>39.8</v>
      </c>
      <c r="J40" s="26"/>
      <c r="K40" s="22">
        <v>268.9</v>
      </c>
      <c r="L40" s="22">
        <v>0.5</v>
      </c>
      <c r="M40" s="22"/>
      <c r="N40" s="22"/>
      <c r="O40" s="27"/>
      <c r="P40" s="22"/>
      <c r="Q40" s="27"/>
      <c r="R40" s="27"/>
      <c r="S40" s="26">
        <v>9.3</v>
      </c>
      <c r="T40" s="26"/>
      <c r="U40" s="26">
        <v>307.6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626.1</v>
      </c>
      <c r="AG40" s="27">
        <f aca="true" t="shared" si="8" ref="AG40:AG45">B40+C40-AF40</f>
        <v>125.79999999999995</v>
      </c>
    </row>
    <row r="41" spans="1:34" ht="15.75">
      <c r="A41" s="3" t="s">
        <v>5</v>
      </c>
      <c r="B41" s="22">
        <v>548.7</v>
      </c>
      <c r="C41" s="22">
        <v>14.4</v>
      </c>
      <c r="D41" s="22"/>
      <c r="E41" s="22"/>
      <c r="F41" s="22"/>
      <c r="G41" s="22"/>
      <c r="H41" s="22"/>
      <c r="I41" s="22"/>
      <c r="J41" s="26"/>
      <c r="K41" s="22">
        <v>224.6</v>
      </c>
      <c r="L41" s="22"/>
      <c r="M41" s="22"/>
      <c r="N41" s="22"/>
      <c r="O41" s="27"/>
      <c r="P41" s="22"/>
      <c r="Q41" s="22"/>
      <c r="R41" s="22"/>
      <c r="S41" s="26"/>
      <c r="T41" s="26"/>
      <c r="U41" s="26">
        <v>306.6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531.2</v>
      </c>
      <c r="AG41" s="27">
        <f t="shared" si="8"/>
        <v>31.899999999999977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7.2</v>
      </c>
      <c r="C43" s="22">
        <v>5.2</v>
      </c>
      <c r="D43" s="22"/>
      <c r="E43" s="22"/>
      <c r="F43" s="22"/>
      <c r="G43" s="22"/>
      <c r="H43" s="22"/>
      <c r="I43" s="22"/>
      <c r="J43" s="26"/>
      <c r="K43" s="22">
        <v>6.7</v>
      </c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6.7</v>
      </c>
      <c r="AG43" s="27">
        <f t="shared" si="8"/>
        <v>5.7</v>
      </c>
    </row>
    <row r="44" spans="1:33" ht="15.75">
      <c r="A44" s="3" t="s">
        <v>2</v>
      </c>
      <c r="B44" s="22">
        <v>70</v>
      </c>
      <c r="C44" s="22">
        <v>47.9</v>
      </c>
      <c r="D44" s="22"/>
      <c r="E44" s="22"/>
      <c r="F44" s="22"/>
      <c r="G44" s="22"/>
      <c r="H44" s="22"/>
      <c r="I44" s="22">
        <v>35.2</v>
      </c>
      <c r="J44" s="26"/>
      <c r="K44" s="22">
        <v>27.4</v>
      </c>
      <c r="L44" s="22"/>
      <c r="M44" s="22"/>
      <c r="N44" s="22"/>
      <c r="O44" s="27"/>
      <c r="P44" s="22"/>
      <c r="Q44" s="22"/>
      <c r="R44" s="22"/>
      <c r="S44" s="26">
        <v>4.8</v>
      </c>
      <c r="T44" s="26"/>
      <c r="U44" s="26">
        <v>1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68.4</v>
      </c>
      <c r="AG44" s="27">
        <f t="shared" si="8"/>
        <v>49.5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29.49999999999993</v>
      </c>
      <c r="C46" s="22">
        <f t="shared" si="10"/>
        <v>28.999999999999993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4.599999999999994</v>
      </c>
      <c r="J46" s="22">
        <f t="shared" si="10"/>
        <v>0</v>
      </c>
      <c r="K46" s="22">
        <f t="shared" si="10"/>
        <v>10.199999999999982</v>
      </c>
      <c r="L46" s="22">
        <f t="shared" si="10"/>
        <v>0.5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4.500000000000001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19.799999999999976</v>
      </c>
      <c r="AG46" s="27">
        <f>AG40-AG41-AG42-AG43-AG44-AG45</f>
        <v>38.699999999999974</v>
      </c>
    </row>
    <row r="47" spans="1:33" ht="17.25" customHeight="1">
      <c r="A47" s="4" t="s">
        <v>15</v>
      </c>
      <c r="B47" s="36">
        <f>1072.2-42.9</f>
        <v>1029.3</v>
      </c>
      <c r="C47" s="22">
        <v>497.6</v>
      </c>
      <c r="D47" s="22"/>
      <c r="E47" s="28"/>
      <c r="F47" s="28">
        <v>18</v>
      </c>
      <c r="G47" s="28">
        <v>62.7</v>
      </c>
      <c r="H47" s="28">
        <v>4.9</v>
      </c>
      <c r="I47" s="28">
        <v>159.7</v>
      </c>
      <c r="J47" s="29"/>
      <c r="K47" s="28">
        <v>3.3</v>
      </c>
      <c r="L47" s="28">
        <v>4.9</v>
      </c>
      <c r="M47" s="28"/>
      <c r="N47" s="28"/>
      <c r="O47" s="31">
        <v>45.5</v>
      </c>
      <c r="P47" s="28"/>
      <c r="Q47" s="28">
        <v>355.5</v>
      </c>
      <c r="R47" s="28">
        <v>2</v>
      </c>
      <c r="S47" s="29">
        <v>11.4</v>
      </c>
      <c r="T47" s="29">
        <v>51.9</v>
      </c>
      <c r="U47" s="28">
        <v>80.1</v>
      </c>
      <c r="V47" s="28">
        <v>8.7</v>
      </c>
      <c r="W47" s="28">
        <v>15.5</v>
      </c>
      <c r="X47" s="28">
        <v>6</v>
      </c>
      <c r="Y47" s="29"/>
      <c r="Z47" s="29"/>
      <c r="AA47" s="29"/>
      <c r="AB47" s="28"/>
      <c r="AC47" s="28"/>
      <c r="AD47" s="28"/>
      <c r="AE47" s="28"/>
      <c r="AF47" s="27">
        <f t="shared" si="9"/>
        <v>830.1</v>
      </c>
      <c r="AG47" s="27">
        <f>B47+C47-AF47</f>
        <v>696.8000000000001</v>
      </c>
    </row>
    <row r="48" spans="1:33" ht="15.75">
      <c r="A48" s="3" t="s">
        <v>5</v>
      </c>
      <c r="B48" s="22">
        <v>29.6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29.6</v>
      </c>
    </row>
    <row r="49" spans="1:33" ht="15.75">
      <c r="A49" s="3" t="s">
        <v>17</v>
      </c>
      <c r="B49" s="22">
        <f>828.9-42.7</f>
        <v>786.1999999999999</v>
      </c>
      <c r="C49" s="22">
        <v>339.2</v>
      </c>
      <c r="D49" s="22"/>
      <c r="E49" s="22"/>
      <c r="F49" s="22"/>
      <c r="G49" s="22">
        <v>62.1</v>
      </c>
      <c r="H49" s="22"/>
      <c r="I49" s="22">
        <v>159.2</v>
      </c>
      <c r="J49" s="26"/>
      <c r="K49" s="22"/>
      <c r="L49" s="22"/>
      <c r="M49" s="22"/>
      <c r="N49" s="22"/>
      <c r="O49" s="27">
        <v>45.1</v>
      </c>
      <c r="P49" s="22"/>
      <c r="Q49" s="22">
        <v>355.5</v>
      </c>
      <c r="R49" s="22">
        <v>2</v>
      </c>
      <c r="S49" s="26"/>
      <c r="T49" s="26">
        <v>51.4</v>
      </c>
      <c r="U49" s="22">
        <v>35.4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710.6999999999999</v>
      </c>
      <c r="AG49" s="27">
        <f>B49+C49-AF49</f>
        <v>414.69999999999993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213.5</v>
      </c>
      <c r="C51" s="22">
        <f t="shared" si="11"/>
        <v>158.40000000000003</v>
      </c>
      <c r="D51" s="22">
        <f t="shared" si="11"/>
        <v>0</v>
      </c>
      <c r="E51" s="22">
        <f t="shared" si="11"/>
        <v>0</v>
      </c>
      <c r="F51" s="22">
        <f t="shared" si="11"/>
        <v>18</v>
      </c>
      <c r="G51" s="22">
        <f t="shared" si="11"/>
        <v>0.6000000000000014</v>
      </c>
      <c r="H51" s="22">
        <f t="shared" si="11"/>
        <v>4.9</v>
      </c>
      <c r="I51" s="22">
        <f t="shared" si="11"/>
        <v>0.5</v>
      </c>
      <c r="J51" s="22">
        <f t="shared" si="11"/>
        <v>0</v>
      </c>
      <c r="K51" s="22">
        <f t="shared" si="11"/>
        <v>3.3</v>
      </c>
      <c r="L51" s="22">
        <f t="shared" si="11"/>
        <v>4.9</v>
      </c>
      <c r="M51" s="22">
        <f t="shared" si="11"/>
        <v>0</v>
      </c>
      <c r="N51" s="22">
        <f t="shared" si="11"/>
        <v>0</v>
      </c>
      <c r="O51" s="22">
        <f t="shared" si="11"/>
        <v>0.3999999999999986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11.4</v>
      </c>
      <c r="T51" s="22">
        <f t="shared" si="11"/>
        <v>0.5</v>
      </c>
      <c r="U51" s="22">
        <f t="shared" si="11"/>
        <v>44.699999999999996</v>
      </c>
      <c r="V51" s="22">
        <f t="shared" si="11"/>
        <v>8.7</v>
      </c>
      <c r="W51" s="22">
        <f t="shared" si="11"/>
        <v>15.5</v>
      </c>
      <c r="X51" s="22">
        <f t="shared" si="11"/>
        <v>6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119.39999999999999</v>
      </c>
      <c r="AG51" s="27">
        <f>AG47-AG49-AG48</f>
        <v>252.50000000000014</v>
      </c>
    </row>
    <row r="52" spans="1:33" ht="15" customHeight="1">
      <c r="A52" s="4" t="s">
        <v>0</v>
      </c>
      <c r="B52" s="22">
        <f>4578.7+5000+595.1</f>
        <v>10173.800000000001</v>
      </c>
      <c r="C52" s="22">
        <v>1760.8</v>
      </c>
      <c r="D52" s="22"/>
      <c r="E52" s="22"/>
      <c r="F52" s="22">
        <v>942.8</v>
      </c>
      <c r="G52" s="22">
        <v>71</v>
      </c>
      <c r="H52" s="22">
        <v>97.9</v>
      </c>
      <c r="I52" s="22"/>
      <c r="J52" s="26"/>
      <c r="K52" s="22">
        <v>513.3</v>
      </c>
      <c r="L52" s="22">
        <v>704.9</v>
      </c>
      <c r="M52" s="22">
        <v>170.4</v>
      </c>
      <c r="N52" s="22">
        <v>18.5</v>
      </c>
      <c r="O52" s="27"/>
      <c r="P52" s="22"/>
      <c r="Q52" s="22">
        <v>102.6</v>
      </c>
      <c r="R52" s="22"/>
      <c r="S52" s="26">
        <v>32.3</v>
      </c>
      <c r="T52" s="26">
        <v>89.3</v>
      </c>
      <c r="U52" s="26"/>
      <c r="V52" s="26">
        <v>1512.9</v>
      </c>
      <c r="W52" s="26">
        <v>897.1</v>
      </c>
      <c r="X52" s="22">
        <v>594.4</v>
      </c>
      <c r="Y52" s="26"/>
      <c r="Z52" s="26"/>
      <c r="AA52" s="26"/>
      <c r="AB52" s="22"/>
      <c r="AC52" s="22"/>
      <c r="AD52" s="22"/>
      <c r="AE52" s="22"/>
      <c r="AF52" s="27">
        <f t="shared" si="9"/>
        <v>5747.400000000001</v>
      </c>
      <c r="AG52" s="27">
        <f aca="true" t="shared" si="12" ref="AG52:AG59">B52+C52-AF52</f>
        <v>6187.2</v>
      </c>
    </row>
    <row r="53" spans="1:33" ht="15" customHeight="1">
      <c r="A53" s="3" t="s">
        <v>2</v>
      </c>
      <c r="B53" s="22">
        <v>446.7</v>
      </c>
      <c r="C53" s="22">
        <v>147.6</v>
      </c>
      <c r="D53" s="22"/>
      <c r="E53" s="22"/>
      <c r="F53" s="22"/>
      <c r="G53" s="22"/>
      <c r="H53" s="22"/>
      <c r="I53" s="22"/>
      <c r="J53" s="26"/>
      <c r="K53" s="22"/>
      <c r="L53" s="22">
        <v>245.5</v>
      </c>
      <c r="M53" s="22"/>
      <c r="N53" s="22"/>
      <c r="O53" s="27"/>
      <c r="P53" s="22"/>
      <c r="Q53" s="22"/>
      <c r="R53" s="22"/>
      <c r="S53" s="26"/>
      <c r="T53" s="26">
        <v>61.2</v>
      </c>
      <c r="U53" s="26"/>
      <c r="V53" s="26"/>
      <c r="W53" s="26">
        <v>0.4</v>
      </c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307.09999999999997</v>
      </c>
      <c r="AG53" s="27">
        <f t="shared" si="12"/>
        <v>287.2</v>
      </c>
    </row>
    <row r="54" spans="1:34" ht="15" customHeight="1">
      <c r="A54" s="4" t="s">
        <v>9</v>
      </c>
      <c r="B54" s="44">
        <v>4087.4</v>
      </c>
      <c r="C54" s="22">
        <v>1605</v>
      </c>
      <c r="D54" s="22"/>
      <c r="E54" s="22">
        <v>603.2</v>
      </c>
      <c r="F54" s="22">
        <v>0.2</v>
      </c>
      <c r="G54" s="22">
        <v>19</v>
      </c>
      <c r="H54" s="22">
        <v>81.6</v>
      </c>
      <c r="I54" s="22">
        <v>9.6</v>
      </c>
      <c r="J54" s="26"/>
      <c r="K54" s="22">
        <f>1371.8+10.2</f>
        <v>1382</v>
      </c>
      <c r="L54" s="22"/>
      <c r="M54" s="22">
        <v>14.9</v>
      </c>
      <c r="N54" s="22"/>
      <c r="O54" s="27">
        <v>146.8</v>
      </c>
      <c r="P54" s="22">
        <v>30.2</v>
      </c>
      <c r="Q54" s="27"/>
      <c r="R54" s="22">
        <v>36.2</v>
      </c>
      <c r="S54" s="26">
        <v>1344.1</v>
      </c>
      <c r="T54" s="26"/>
      <c r="U54" s="26">
        <v>263.3</v>
      </c>
      <c r="V54" s="26">
        <v>76.8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4007.9000000000005</v>
      </c>
      <c r="AG54" s="22">
        <f t="shared" si="12"/>
        <v>1684.499999999999</v>
      </c>
      <c r="AH54" s="6"/>
    </row>
    <row r="55" spans="1:34" ht="15.75">
      <c r="A55" s="3" t="s">
        <v>5</v>
      </c>
      <c r="B55" s="22">
        <v>2762.8</v>
      </c>
      <c r="C55" s="22">
        <v>180.8</v>
      </c>
      <c r="D55" s="22"/>
      <c r="E55" s="22"/>
      <c r="F55" s="22"/>
      <c r="G55" s="22"/>
      <c r="H55" s="22"/>
      <c r="I55" s="22"/>
      <c r="J55" s="26"/>
      <c r="K55" s="22">
        <v>1365.6</v>
      </c>
      <c r="L55" s="22"/>
      <c r="M55" s="22"/>
      <c r="N55" s="22"/>
      <c r="O55" s="27"/>
      <c r="P55" s="22"/>
      <c r="Q55" s="27"/>
      <c r="R55" s="22"/>
      <c r="S55" s="26">
        <v>1342.2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2707.8</v>
      </c>
      <c r="AG55" s="22">
        <f t="shared" si="12"/>
        <v>235.80000000000018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380.4</v>
      </c>
      <c r="C57" s="22">
        <v>775.1</v>
      </c>
      <c r="D57" s="22"/>
      <c r="E57" s="22">
        <v>179</v>
      </c>
      <c r="F57" s="22"/>
      <c r="G57" s="22">
        <v>19</v>
      </c>
      <c r="H57" s="22">
        <v>1</v>
      </c>
      <c r="I57" s="22"/>
      <c r="J57" s="26"/>
      <c r="K57" s="22">
        <f>1.3+0.4</f>
        <v>1.7000000000000002</v>
      </c>
      <c r="L57" s="22"/>
      <c r="M57" s="22">
        <v>1.8</v>
      </c>
      <c r="N57" s="22"/>
      <c r="O57" s="27"/>
      <c r="P57" s="22"/>
      <c r="Q57" s="27"/>
      <c r="R57" s="22">
        <v>4.5</v>
      </c>
      <c r="S57" s="26"/>
      <c r="T57" s="26"/>
      <c r="U57" s="26">
        <v>241.4</v>
      </c>
      <c r="V57" s="26">
        <v>76.8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525.1999999999999</v>
      </c>
      <c r="AG57" s="22">
        <f t="shared" si="12"/>
        <v>630.3000000000001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939.0999999999999</v>
      </c>
      <c r="C60" s="22">
        <f t="shared" si="13"/>
        <v>649.1</v>
      </c>
      <c r="D60" s="22">
        <f t="shared" si="13"/>
        <v>0</v>
      </c>
      <c r="E60" s="22">
        <f t="shared" si="13"/>
        <v>424.20000000000005</v>
      </c>
      <c r="F60" s="22">
        <f t="shared" si="13"/>
        <v>0.2</v>
      </c>
      <c r="G60" s="22">
        <f t="shared" si="13"/>
        <v>0</v>
      </c>
      <c r="H60" s="22">
        <f t="shared" si="13"/>
        <v>80.6</v>
      </c>
      <c r="I60" s="22">
        <f t="shared" si="13"/>
        <v>9.6</v>
      </c>
      <c r="J60" s="22">
        <f t="shared" si="13"/>
        <v>0</v>
      </c>
      <c r="K60" s="22">
        <f t="shared" si="13"/>
        <v>14.700000000000092</v>
      </c>
      <c r="L60" s="22">
        <f t="shared" si="13"/>
        <v>0</v>
      </c>
      <c r="M60" s="22">
        <f t="shared" si="13"/>
        <v>13.1</v>
      </c>
      <c r="N60" s="22">
        <f t="shared" si="13"/>
        <v>0</v>
      </c>
      <c r="O60" s="22">
        <f t="shared" si="13"/>
        <v>146.8</v>
      </c>
      <c r="P60" s="22">
        <f t="shared" si="13"/>
        <v>30.2</v>
      </c>
      <c r="Q60" s="22">
        <f t="shared" si="13"/>
        <v>0</v>
      </c>
      <c r="R60" s="22">
        <f t="shared" si="13"/>
        <v>26.6</v>
      </c>
      <c r="S60" s="22">
        <f t="shared" si="13"/>
        <v>1.8999999999998636</v>
      </c>
      <c r="T60" s="22">
        <f t="shared" si="13"/>
        <v>0</v>
      </c>
      <c r="U60" s="22">
        <f t="shared" si="13"/>
        <v>21.900000000000006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769.8000000000004</v>
      </c>
      <c r="AG60" s="22">
        <f>AG54-AG55-AG57-AG59-AG56-AG58</f>
        <v>818.3999999999988</v>
      </c>
    </row>
    <row r="61" spans="1:33" ht="15" customHeight="1">
      <c r="A61" s="4" t="s">
        <v>10</v>
      </c>
      <c r="B61" s="22">
        <f>70+9</f>
        <v>79</v>
      </c>
      <c r="C61" s="22">
        <v>72.3</v>
      </c>
      <c r="D61" s="22"/>
      <c r="E61" s="22">
        <v>8.7</v>
      </c>
      <c r="F61" s="22"/>
      <c r="G61" s="22"/>
      <c r="H61" s="22">
        <v>8.3</v>
      </c>
      <c r="I61" s="22"/>
      <c r="J61" s="26"/>
      <c r="K61" s="22">
        <v>9</v>
      </c>
      <c r="L61" s="22"/>
      <c r="M61" s="22"/>
      <c r="N61" s="22">
        <v>2</v>
      </c>
      <c r="O61" s="27"/>
      <c r="P61" s="22"/>
      <c r="Q61" s="27"/>
      <c r="R61" s="22">
        <v>12.1</v>
      </c>
      <c r="S61" s="26"/>
      <c r="T61" s="26"/>
      <c r="U61" s="26">
        <v>30.9</v>
      </c>
      <c r="V61" s="26"/>
      <c r="W61" s="26">
        <v>11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82</v>
      </c>
      <c r="AG61" s="22">
        <f aca="true" t="shared" si="15" ref="AG61:AG67">B61+C61-AF61</f>
        <v>69.30000000000001</v>
      </c>
    </row>
    <row r="62" spans="1:33" ht="15" customHeight="1">
      <c r="A62" s="4" t="s">
        <v>11</v>
      </c>
      <c r="B62" s="22">
        <v>1434.7</v>
      </c>
      <c r="C62" s="22">
        <v>680.7</v>
      </c>
      <c r="D62" s="22"/>
      <c r="E62" s="22"/>
      <c r="F62" s="22"/>
      <c r="G62" s="22">
        <v>89.4</v>
      </c>
      <c r="H62" s="22">
        <v>151.6</v>
      </c>
      <c r="I62" s="22"/>
      <c r="J62" s="26"/>
      <c r="K62" s="22">
        <v>362.5</v>
      </c>
      <c r="L62" s="22">
        <v>3.6</v>
      </c>
      <c r="M62" s="22"/>
      <c r="N62" s="22">
        <v>52.3</v>
      </c>
      <c r="O62" s="27">
        <v>5.5</v>
      </c>
      <c r="P62" s="22"/>
      <c r="Q62" s="27"/>
      <c r="R62" s="22"/>
      <c r="S62" s="26">
        <v>47.6</v>
      </c>
      <c r="T62" s="26">
        <v>477.8</v>
      </c>
      <c r="U62" s="26">
        <v>131.7</v>
      </c>
      <c r="V62" s="26">
        <v>10.9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1332.9</v>
      </c>
      <c r="AG62" s="22">
        <f t="shared" si="15"/>
        <v>782.5</v>
      </c>
    </row>
    <row r="63" spans="1:34" ht="15.75">
      <c r="A63" s="3" t="s">
        <v>5</v>
      </c>
      <c r="B63" s="22">
        <v>770.3</v>
      </c>
      <c r="C63" s="22">
        <v>64.5</v>
      </c>
      <c r="D63" s="22"/>
      <c r="E63" s="22"/>
      <c r="F63" s="22"/>
      <c r="G63" s="22"/>
      <c r="H63" s="22"/>
      <c r="I63" s="22"/>
      <c r="J63" s="26"/>
      <c r="K63" s="22">
        <v>294.5</v>
      </c>
      <c r="L63" s="22"/>
      <c r="M63" s="22"/>
      <c r="N63" s="22"/>
      <c r="O63" s="27"/>
      <c r="P63" s="22"/>
      <c r="Q63" s="27"/>
      <c r="R63" s="22"/>
      <c r="S63" s="26"/>
      <c r="T63" s="26">
        <v>446</v>
      </c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740.5</v>
      </c>
      <c r="AG63" s="22">
        <f t="shared" si="15"/>
        <v>94.29999999999995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32</v>
      </c>
      <c r="C65" s="22">
        <v>27.6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>
        <v>13</v>
      </c>
      <c r="T65" s="26"/>
      <c r="U65" s="26">
        <v>20.7</v>
      </c>
      <c r="V65" s="26">
        <v>0.5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34.2</v>
      </c>
      <c r="AG65" s="22">
        <f t="shared" si="15"/>
        <v>25.4</v>
      </c>
      <c r="AH65" s="6"/>
    </row>
    <row r="66" spans="1:33" ht="15.75">
      <c r="A66" s="3" t="s">
        <v>2</v>
      </c>
      <c r="B66" s="22">
        <v>122.3</v>
      </c>
      <c r="C66" s="22">
        <v>95.3</v>
      </c>
      <c r="D66" s="22"/>
      <c r="E66" s="22"/>
      <c r="F66" s="22"/>
      <c r="G66" s="22">
        <v>4.7</v>
      </c>
      <c r="H66" s="22">
        <v>15.2</v>
      </c>
      <c r="I66" s="22"/>
      <c r="J66" s="26"/>
      <c r="K66" s="22"/>
      <c r="L66" s="22"/>
      <c r="M66" s="22"/>
      <c r="N66" s="22">
        <v>34.9</v>
      </c>
      <c r="O66" s="27"/>
      <c r="P66" s="22"/>
      <c r="Q66" s="22"/>
      <c r="R66" s="22"/>
      <c r="S66" s="26">
        <v>9</v>
      </c>
      <c r="T66" s="26"/>
      <c r="U66" s="26">
        <v>4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67.8</v>
      </c>
      <c r="AG66" s="22">
        <f t="shared" si="15"/>
        <v>149.8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510.10000000000014</v>
      </c>
      <c r="C68" s="22">
        <f t="shared" si="16"/>
        <v>493.30000000000007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84.7</v>
      </c>
      <c r="H68" s="22">
        <f t="shared" si="16"/>
        <v>136.4</v>
      </c>
      <c r="I68" s="22">
        <f t="shared" si="16"/>
        <v>0</v>
      </c>
      <c r="J68" s="22">
        <f t="shared" si="16"/>
        <v>0</v>
      </c>
      <c r="K68" s="22">
        <f t="shared" si="16"/>
        <v>68</v>
      </c>
      <c r="L68" s="22">
        <f t="shared" si="16"/>
        <v>3.6</v>
      </c>
      <c r="M68" s="22">
        <f t="shared" si="16"/>
        <v>0</v>
      </c>
      <c r="N68" s="22">
        <f t="shared" si="16"/>
        <v>17.4</v>
      </c>
      <c r="O68" s="22">
        <f t="shared" si="16"/>
        <v>5.5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25.6</v>
      </c>
      <c r="T68" s="22">
        <f t="shared" si="16"/>
        <v>31.80000000000001</v>
      </c>
      <c r="U68" s="22">
        <f t="shared" si="16"/>
        <v>106.99999999999999</v>
      </c>
      <c r="V68" s="22">
        <f t="shared" si="16"/>
        <v>10.4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490.40000000000003</v>
      </c>
      <c r="AG68" s="22">
        <f>AG62-AG63-AG66-AG67-AG65-AG64</f>
        <v>513.0000000000001</v>
      </c>
    </row>
    <row r="69" spans="1:33" ht="31.5">
      <c r="A69" s="4" t="s">
        <v>32</v>
      </c>
      <c r="B69" s="22">
        <v>143.9</v>
      </c>
      <c r="C69" s="22">
        <v>22.9</v>
      </c>
      <c r="D69" s="22"/>
      <c r="E69" s="22">
        <v>14.3</v>
      </c>
      <c r="F69" s="22"/>
      <c r="G69" s="22"/>
      <c r="H69" s="22"/>
      <c r="I69" s="22"/>
      <c r="J69" s="26"/>
      <c r="K69" s="22">
        <v>14.5</v>
      </c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28.8</v>
      </c>
      <c r="AG69" s="30">
        <f aca="true" t="shared" si="17" ref="AG69:AG92">B69+C69-AF69</f>
        <v>138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17.5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15.4</v>
      </c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15.4</v>
      </c>
      <c r="AG71" s="30">
        <f t="shared" si="17"/>
        <v>2.0999999999999996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839+33.9</f>
        <v>872.9</v>
      </c>
      <c r="C72" s="22">
        <v>844.2</v>
      </c>
      <c r="D72" s="22"/>
      <c r="E72" s="22">
        <v>20.9</v>
      </c>
      <c r="F72" s="22">
        <v>59</v>
      </c>
      <c r="G72" s="22">
        <v>7.5</v>
      </c>
      <c r="H72" s="22">
        <v>2.3</v>
      </c>
      <c r="I72" s="22">
        <v>4.2</v>
      </c>
      <c r="J72" s="26"/>
      <c r="K72" s="22">
        <f>15.5+0.3</f>
        <v>15.8</v>
      </c>
      <c r="L72" s="22">
        <v>38.9</v>
      </c>
      <c r="M72" s="22">
        <v>2</v>
      </c>
      <c r="N72" s="22">
        <v>60.6</v>
      </c>
      <c r="O72" s="22"/>
      <c r="P72" s="22">
        <v>5</v>
      </c>
      <c r="Q72" s="27">
        <v>10.7</v>
      </c>
      <c r="R72" s="22">
        <v>12.7</v>
      </c>
      <c r="S72" s="26">
        <v>0.4</v>
      </c>
      <c r="T72" s="26"/>
      <c r="U72" s="26">
        <v>109.5</v>
      </c>
      <c r="V72" s="26">
        <v>7.1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356.6</v>
      </c>
      <c r="AG72" s="30">
        <f t="shared" si="17"/>
        <v>1360.5</v>
      </c>
    </row>
    <row r="73" spans="1:33" ht="15" customHeight="1">
      <c r="A73" s="3" t="s">
        <v>5</v>
      </c>
      <c r="B73" s="22">
        <v>16.8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16.8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v>197.5</v>
      </c>
      <c r="C74" s="22">
        <v>198.1</v>
      </c>
      <c r="D74" s="22"/>
      <c r="E74" s="22">
        <v>20.9</v>
      </c>
      <c r="F74" s="22"/>
      <c r="G74" s="22"/>
      <c r="H74" s="22"/>
      <c r="I74" s="22"/>
      <c r="J74" s="26"/>
      <c r="K74" s="22"/>
      <c r="L74" s="22"/>
      <c r="M74" s="22"/>
      <c r="N74" s="22">
        <v>39.3</v>
      </c>
      <c r="O74" s="22"/>
      <c r="P74" s="22"/>
      <c r="Q74" s="27">
        <v>0.2</v>
      </c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60.4</v>
      </c>
      <c r="AG74" s="30">
        <f t="shared" si="17"/>
        <v>335.20000000000005</v>
      </c>
    </row>
    <row r="75" spans="1:33" ht="15" customHeight="1">
      <c r="A75" s="3" t="s">
        <v>17</v>
      </c>
      <c r="B75" s="22">
        <f>87.1-7.5-4.2</f>
        <v>75.39999999999999</v>
      </c>
      <c r="C75" s="22">
        <v>139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2.7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2.7</v>
      </c>
      <c r="AG75" s="30">
        <f t="shared" si="17"/>
        <v>211.7</v>
      </c>
    </row>
    <row r="76" spans="1:33" s="11" customFormat="1" ht="31.5">
      <c r="A76" s="12" t="s">
        <v>21</v>
      </c>
      <c r="B76" s="22">
        <v>97.5</v>
      </c>
      <c r="C76" s="22">
        <v>135</v>
      </c>
      <c r="D76" s="22"/>
      <c r="E76" s="28"/>
      <c r="F76" s="28"/>
      <c r="G76" s="28">
        <v>11.7</v>
      </c>
      <c r="H76" s="28"/>
      <c r="I76" s="28"/>
      <c r="J76" s="29"/>
      <c r="K76" s="28">
        <v>55</v>
      </c>
      <c r="L76" s="28"/>
      <c r="M76" s="28"/>
      <c r="N76" s="28"/>
      <c r="O76" s="28"/>
      <c r="P76" s="28"/>
      <c r="Q76" s="31"/>
      <c r="R76" s="28"/>
      <c r="S76" s="29"/>
      <c r="T76" s="29"/>
      <c r="U76" s="28"/>
      <c r="V76" s="28">
        <v>45.4</v>
      </c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112.1</v>
      </c>
      <c r="AG76" s="30">
        <f t="shared" si="17"/>
        <v>120.4</v>
      </c>
    </row>
    <row r="77" spans="1:33" s="11" customFormat="1" ht="15.75">
      <c r="A77" s="3" t="s">
        <v>5</v>
      </c>
      <c r="B77" s="22">
        <v>79.3</v>
      </c>
      <c r="C77" s="22">
        <v>0.2</v>
      </c>
      <c r="D77" s="22"/>
      <c r="E77" s="28"/>
      <c r="F77" s="28"/>
      <c r="G77" s="28">
        <v>11.2</v>
      </c>
      <c r="H77" s="28"/>
      <c r="I77" s="28"/>
      <c r="J77" s="29"/>
      <c r="K77" s="28">
        <v>38.1</v>
      </c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>
        <v>30.1</v>
      </c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79.4</v>
      </c>
      <c r="AG77" s="30">
        <f t="shared" si="17"/>
        <v>0.09999999999999432</v>
      </c>
    </row>
    <row r="78" spans="1:33" s="11" customFormat="1" ht="15.75">
      <c r="A78" s="3" t="s">
        <v>3</v>
      </c>
      <c r="B78" s="22"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1.9</v>
      </c>
      <c r="C80" s="22">
        <v>6</v>
      </c>
      <c r="D80" s="22"/>
      <c r="E80" s="28"/>
      <c r="F80" s="28"/>
      <c r="G80" s="28">
        <v>0.4</v>
      </c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>
        <v>5.3</v>
      </c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5.7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345</v>
      </c>
      <c r="D83" s="28"/>
      <c r="E83" s="28"/>
      <c r="F83" s="28"/>
      <c r="G83" s="28"/>
      <c r="H83" s="28"/>
      <c r="I83" s="28"/>
      <c r="J83" s="28"/>
      <c r="K83" s="28"/>
      <c r="L83" s="28">
        <v>345</v>
      </c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345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10500-2000-595.1</f>
        <v>7904.9</v>
      </c>
      <c r="C89" s="22">
        <v>2072.9</v>
      </c>
      <c r="D89" s="22"/>
      <c r="E89" s="22"/>
      <c r="F89" s="22"/>
      <c r="G89" s="22">
        <v>1473</v>
      </c>
      <c r="H89" s="22"/>
      <c r="I89" s="22"/>
      <c r="J89" s="22"/>
      <c r="K89" s="22">
        <v>34.4</v>
      </c>
      <c r="L89" s="22"/>
      <c r="M89" s="22">
        <v>335.2</v>
      </c>
      <c r="N89" s="22">
        <v>312.9</v>
      </c>
      <c r="O89" s="22"/>
      <c r="P89" s="22"/>
      <c r="Q89" s="22"/>
      <c r="R89" s="22">
        <v>1166.8</v>
      </c>
      <c r="S89" s="26"/>
      <c r="T89" s="26">
        <v>460.5</v>
      </c>
      <c r="U89" s="22"/>
      <c r="V89" s="22">
        <v>1222.9</v>
      </c>
      <c r="W89" s="22">
        <v>80.6</v>
      </c>
      <c r="X89" s="26">
        <v>345.1</v>
      </c>
      <c r="Y89" s="26"/>
      <c r="Z89" s="26"/>
      <c r="AA89" s="26"/>
      <c r="AB89" s="22"/>
      <c r="AC89" s="22"/>
      <c r="AD89" s="22"/>
      <c r="AE89" s="22"/>
      <c r="AF89" s="27">
        <f t="shared" si="14"/>
        <v>5431.4000000000015</v>
      </c>
      <c r="AG89" s="22">
        <f t="shared" si="17"/>
        <v>4546.399999999998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>
        <v>805.6</v>
      </c>
      <c r="J90" s="22"/>
      <c r="K90" s="22"/>
      <c r="L90" s="22"/>
      <c r="M90" s="22"/>
      <c r="N90" s="22"/>
      <c r="O90" s="22"/>
      <c r="P90" s="22"/>
      <c r="Q90" s="22">
        <v>805.6</v>
      </c>
      <c r="R90" s="22"/>
      <c r="S90" s="26"/>
      <c r="T90" s="26"/>
      <c r="U90" s="22"/>
      <c r="V90" s="22"/>
      <c r="W90" s="22"/>
      <c r="X90" s="26">
        <v>805.6</v>
      </c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f>833.3-833.3</f>
        <v>0</v>
      </c>
      <c r="C91" s="22">
        <f>2500-2500</f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48825+3333.3</f>
        <v>52158.3</v>
      </c>
      <c r="C92" s="22">
        <v>0</v>
      </c>
      <c r="D92" s="22">
        <v>7306.3</v>
      </c>
      <c r="E92" s="22"/>
      <c r="F92" s="22">
        <v>113.6</v>
      </c>
      <c r="G92" s="22">
        <v>824.5</v>
      </c>
      <c r="H92" s="22">
        <v>6.1</v>
      </c>
      <c r="I92" s="22">
        <v>72.3</v>
      </c>
      <c r="J92" s="22"/>
      <c r="K92" s="22">
        <v>8</v>
      </c>
      <c r="L92" s="22">
        <f>1047.4+410</f>
        <v>1457.4</v>
      </c>
      <c r="M92" s="22"/>
      <c r="N92" s="22">
        <v>6261.9</v>
      </c>
      <c r="O92" s="22">
        <v>444</v>
      </c>
      <c r="P92" s="22"/>
      <c r="Q92" s="22">
        <v>5000</v>
      </c>
      <c r="R92" s="22"/>
      <c r="S92" s="26">
        <v>62</v>
      </c>
      <c r="T92" s="26">
        <v>300</v>
      </c>
      <c r="U92" s="22"/>
      <c r="V92" s="22"/>
      <c r="W92" s="22">
        <v>4421.1</v>
      </c>
      <c r="X92" s="26">
        <v>9632.9</v>
      </c>
      <c r="Y92" s="26"/>
      <c r="Z92" s="26"/>
      <c r="AA92" s="26"/>
      <c r="AB92" s="22"/>
      <c r="AC92" s="22"/>
      <c r="AD92" s="22"/>
      <c r="AE92" s="22"/>
      <c r="AF92" s="27">
        <f t="shared" si="14"/>
        <v>35910.1</v>
      </c>
      <c r="AG92" s="22">
        <f t="shared" si="17"/>
        <v>16248.200000000004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144729.39999999997</v>
      </c>
      <c r="C94" s="42">
        <f t="shared" si="18"/>
        <v>28119.4</v>
      </c>
      <c r="D94" s="42">
        <f t="shared" si="18"/>
        <v>7595.5</v>
      </c>
      <c r="E94" s="42">
        <f t="shared" si="18"/>
        <v>1052.6000000000001</v>
      </c>
      <c r="F94" s="42">
        <f t="shared" si="18"/>
        <v>1149.8999999999999</v>
      </c>
      <c r="G94" s="42">
        <f t="shared" si="18"/>
        <v>4047.8</v>
      </c>
      <c r="H94" s="42">
        <f t="shared" si="18"/>
        <v>1177.9999999999998</v>
      </c>
      <c r="I94" s="42">
        <f t="shared" si="18"/>
        <v>1097.7</v>
      </c>
      <c r="J94" s="42">
        <f t="shared" si="18"/>
        <v>0</v>
      </c>
      <c r="K94" s="42">
        <f t="shared" si="18"/>
        <v>9910.899999999998</v>
      </c>
      <c r="L94" s="42">
        <f t="shared" si="18"/>
        <v>18840.600000000002</v>
      </c>
      <c r="M94" s="42">
        <f t="shared" si="18"/>
        <v>789.3</v>
      </c>
      <c r="N94" s="42">
        <f t="shared" si="18"/>
        <v>6755.4</v>
      </c>
      <c r="O94" s="42">
        <f t="shared" si="18"/>
        <v>2168.6000000000004</v>
      </c>
      <c r="P94" s="42">
        <f t="shared" si="18"/>
        <v>826.9000000000001</v>
      </c>
      <c r="Q94" s="42">
        <f t="shared" si="18"/>
        <v>6853.6</v>
      </c>
      <c r="R94" s="42">
        <f t="shared" si="18"/>
        <v>1826</v>
      </c>
      <c r="S94" s="42">
        <f t="shared" si="18"/>
        <v>1802.4999999999998</v>
      </c>
      <c r="T94" s="42">
        <f t="shared" si="18"/>
        <v>16880.5</v>
      </c>
      <c r="U94" s="42">
        <f t="shared" si="18"/>
        <v>10904</v>
      </c>
      <c r="V94" s="42">
        <f t="shared" si="18"/>
        <v>4537.000000000001</v>
      </c>
      <c r="W94" s="42">
        <f t="shared" si="18"/>
        <v>8017.9</v>
      </c>
      <c r="X94" s="42">
        <f t="shared" si="18"/>
        <v>11426.3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117661</v>
      </c>
      <c r="AG94" s="58">
        <f>AG10+AG15+AG24+AG33+AG47+AG52+AG54+AG61+AG62+AG69+AG71+AG72+AG76+AG81+AG82+AG83+AG88+AG89+AG90+AG91+AG70+AG40+AG92</f>
        <v>55187.799999999996</v>
      </c>
    </row>
    <row r="95" spans="1:33" ht="15.75">
      <c r="A95" s="3" t="s">
        <v>5</v>
      </c>
      <c r="B95" s="22">
        <f aca="true" t="shared" si="19" ref="B95:AD95">B11+B17+B26+B34+B55+B63+B73+B41+B77+B48</f>
        <v>48351.100000000006</v>
      </c>
      <c r="C95" s="22">
        <f t="shared" si="19"/>
        <v>3590.6000000000004</v>
      </c>
      <c r="D95" s="22">
        <f t="shared" si="19"/>
        <v>0</v>
      </c>
      <c r="E95" s="22">
        <f t="shared" si="19"/>
        <v>6</v>
      </c>
      <c r="F95" s="22">
        <f t="shared" si="19"/>
        <v>5.1</v>
      </c>
      <c r="G95" s="22">
        <f t="shared" si="19"/>
        <v>52</v>
      </c>
      <c r="H95" s="22">
        <f t="shared" si="19"/>
        <v>12.8</v>
      </c>
      <c r="I95" s="22">
        <f t="shared" si="19"/>
        <v>5.9</v>
      </c>
      <c r="J95" s="22">
        <f t="shared" si="19"/>
        <v>0</v>
      </c>
      <c r="K95" s="22">
        <f t="shared" si="19"/>
        <v>7432.9000000000015</v>
      </c>
      <c r="L95" s="22">
        <f t="shared" si="19"/>
        <v>12713</v>
      </c>
      <c r="M95" s="22">
        <f t="shared" si="19"/>
        <v>177.2</v>
      </c>
      <c r="N95" s="22">
        <f t="shared" si="19"/>
        <v>15.5</v>
      </c>
      <c r="O95" s="22">
        <f t="shared" si="19"/>
        <v>10.4</v>
      </c>
      <c r="P95" s="22">
        <f t="shared" si="19"/>
        <v>16.8</v>
      </c>
      <c r="Q95" s="22">
        <f t="shared" si="19"/>
        <v>2.1</v>
      </c>
      <c r="R95" s="22">
        <f t="shared" si="19"/>
        <v>2.1</v>
      </c>
      <c r="S95" s="22">
        <f t="shared" si="19"/>
        <v>1342.2</v>
      </c>
      <c r="T95" s="22">
        <f t="shared" si="19"/>
        <v>13062.1</v>
      </c>
      <c r="U95" s="22">
        <f t="shared" si="19"/>
        <v>10152.9</v>
      </c>
      <c r="V95" s="22">
        <f t="shared" si="19"/>
        <v>793.9</v>
      </c>
      <c r="W95" s="22">
        <f t="shared" si="19"/>
        <v>1183.2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46986.1</v>
      </c>
      <c r="AG95" s="27">
        <f>B95+C95-AF95</f>
        <v>4955.600000000006</v>
      </c>
    </row>
    <row r="96" spans="1:33" ht="15.75">
      <c r="A96" s="3" t="s">
        <v>2</v>
      </c>
      <c r="B96" s="22">
        <f aca="true" t="shared" si="20" ref="B96:AD96">B12+B20+B29+B36+B57+B66+B44+B80+B74+B53</f>
        <v>9131</v>
      </c>
      <c r="C96" s="22">
        <f t="shared" si="20"/>
        <v>11022</v>
      </c>
      <c r="D96" s="22">
        <f t="shared" si="20"/>
        <v>21</v>
      </c>
      <c r="E96" s="22">
        <f t="shared" si="20"/>
        <v>464.09999999999997</v>
      </c>
      <c r="F96" s="22">
        <f t="shared" si="20"/>
        <v>0</v>
      </c>
      <c r="G96" s="22">
        <f t="shared" si="20"/>
        <v>1131.3000000000002</v>
      </c>
      <c r="H96" s="22">
        <f t="shared" si="20"/>
        <v>190.29999999999998</v>
      </c>
      <c r="I96" s="22">
        <f t="shared" si="20"/>
        <v>35.2</v>
      </c>
      <c r="J96" s="22">
        <f t="shared" si="20"/>
        <v>0</v>
      </c>
      <c r="K96" s="22">
        <f t="shared" si="20"/>
        <v>1242.6000000000001</v>
      </c>
      <c r="L96" s="22">
        <f t="shared" si="20"/>
        <v>2558.1000000000004</v>
      </c>
      <c r="M96" s="22">
        <f t="shared" si="20"/>
        <v>48.099999999999994</v>
      </c>
      <c r="N96" s="22">
        <f t="shared" si="20"/>
        <v>85.89999999999999</v>
      </c>
      <c r="O96" s="22">
        <f t="shared" si="20"/>
        <v>537</v>
      </c>
      <c r="P96" s="22">
        <f t="shared" si="20"/>
        <v>175</v>
      </c>
      <c r="Q96" s="22">
        <f t="shared" si="20"/>
        <v>177.2</v>
      </c>
      <c r="R96" s="22">
        <f t="shared" si="20"/>
        <v>4.5</v>
      </c>
      <c r="S96" s="22">
        <f t="shared" si="20"/>
        <v>183.20000000000002</v>
      </c>
      <c r="T96" s="22">
        <f t="shared" si="20"/>
        <v>996.5</v>
      </c>
      <c r="U96" s="22">
        <f t="shared" si="20"/>
        <v>246.6</v>
      </c>
      <c r="V96" s="22">
        <f t="shared" si="20"/>
        <v>880.9999999999999</v>
      </c>
      <c r="W96" s="22">
        <f t="shared" si="20"/>
        <v>429.69999999999993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9407.300000000001</v>
      </c>
      <c r="AG96" s="27">
        <f>B96+C96-AF96</f>
        <v>10745.699999999999</v>
      </c>
    </row>
    <row r="97" spans="1:33" ht="15.75">
      <c r="A97" s="3" t="s">
        <v>3</v>
      </c>
      <c r="B97" s="22">
        <f aca="true" t="shared" si="21" ref="B97:AA97">B18+B27+B42+B64+B78</f>
        <v>3010.3</v>
      </c>
      <c r="C97" s="22">
        <f t="shared" si="21"/>
        <v>657.8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35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1.2</v>
      </c>
      <c r="L97" s="22">
        <f t="shared" si="21"/>
        <v>464.9</v>
      </c>
      <c r="M97" s="22">
        <f t="shared" si="21"/>
        <v>2.5</v>
      </c>
      <c r="N97" s="22">
        <f t="shared" si="21"/>
        <v>0</v>
      </c>
      <c r="O97" s="22">
        <f t="shared" si="21"/>
        <v>309.5</v>
      </c>
      <c r="P97" s="22">
        <f t="shared" si="21"/>
        <v>447</v>
      </c>
      <c r="Q97" s="22">
        <f t="shared" si="21"/>
        <v>3.4</v>
      </c>
      <c r="R97" s="22">
        <f t="shared" si="21"/>
        <v>0</v>
      </c>
      <c r="S97" s="22">
        <f t="shared" si="21"/>
        <v>1.6</v>
      </c>
      <c r="T97" s="22">
        <f t="shared" si="21"/>
        <v>846.7</v>
      </c>
      <c r="U97" s="22">
        <f t="shared" si="21"/>
        <v>41.6</v>
      </c>
      <c r="V97" s="22">
        <f t="shared" si="21"/>
        <v>2</v>
      </c>
      <c r="W97" s="22">
        <f t="shared" si="21"/>
        <v>85.2</v>
      </c>
      <c r="X97" s="22">
        <f t="shared" si="21"/>
        <v>37.3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2277.9</v>
      </c>
      <c r="AG97" s="27">
        <f>B97+C97-AF97</f>
        <v>1390.2000000000003</v>
      </c>
    </row>
    <row r="98" spans="1:33" ht="15.75">
      <c r="A98" s="3" t="s">
        <v>1</v>
      </c>
      <c r="B98" s="22">
        <f aca="true" t="shared" si="22" ref="B98:AD98">B19+B28+B65+B35+B43+B56+B79</f>
        <v>4206.599999999999</v>
      </c>
      <c r="C98" s="22">
        <f t="shared" si="22"/>
        <v>2767.7</v>
      </c>
      <c r="D98" s="22">
        <f t="shared" si="22"/>
        <v>252.1</v>
      </c>
      <c r="E98" s="22">
        <f t="shared" si="22"/>
        <v>59.6</v>
      </c>
      <c r="F98" s="22">
        <f t="shared" si="22"/>
        <v>0</v>
      </c>
      <c r="G98" s="22">
        <f t="shared" si="22"/>
        <v>23.7</v>
      </c>
      <c r="H98" s="22">
        <f t="shared" si="22"/>
        <v>339.9</v>
      </c>
      <c r="I98" s="22">
        <f t="shared" si="22"/>
        <v>0</v>
      </c>
      <c r="J98" s="22">
        <f t="shared" si="22"/>
        <v>0</v>
      </c>
      <c r="K98" s="22">
        <f t="shared" si="22"/>
        <v>341.09999999999997</v>
      </c>
      <c r="L98" s="22">
        <f t="shared" si="22"/>
        <v>101</v>
      </c>
      <c r="M98" s="22">
        <f t="shared" si="22"/>
        <v>0</v>
      </c>
      <c r="N98" s="22">
        <f t="shared" si="22"/>
        <v>0</v>
      </c>
      <c r="O98" s="22">
        <f t="shared" si="22"/>
        <v>333.1</v>
      </c>
      <c r="P98" s="22">
        <f t="shared" si="22"/>
        <v>40.6</v>
      </c>
      <c r="Q98" s="22">
        <f t="shared" si="22"/>
        <v>27.2</v>
      </c>
      <c r="R98" s="22">
        <f t="shared" si="22"/>
        <v>155.4</v>
      </c>
      <c r="S98" s="22">
        <f t="shared" si="22"/>
        <v>34.3</v>
      </c>
      <c r="T98" s="22">
        <f t="shared" si="22"/>
        <v>646.7</v>
      </c>
      <c r="U98" s="22">
        <f t="shared" si="22"/>
        <v>57.8</v>
      </c>
      <c r="V98" s="22">
        <f t="shared" si="22"/>
        <v>38.9</v>
      </c>
      <c r="W98" s="22">
        <f t="shared" si="22"/>
        <v>782.4000000000001</v>
      </c>
      <c r="X98" s="22">
        <f t="shared" si="22"/>
        <v>0.1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3233.9</v>
      </c>
      <c r="AG98" s="27">
        <f>B98+C98-AF98</f>
        <v>3740.399999999999</v>
      </c>
    </row>
    <row r="99" spans="1:33" ht="15.75">
      <c r="A99" s="3" t="s">
        <v>17</v>
      </c>
      <c r="B99" s="22">
        <f aca="true" t="shared" si="23" ref="B99:AD99">B21+B30+B49+B37+B58+B13+B75</f>
        <v>2106.2</v>
      </c>
      <c r="C99" s="22">
        <f t="shared" si="23"/>
        <v>764.1</v>
      </c>
      <c r="D99" s="22">
        <f t="shared" si="23"/>
        <v>0</v>
      </c>
      <c r="E99" s="22">
        <f t="shared" si="23"/>
        <v>1.2</v>
      </c>
      <c r="F99" s="22">
        <f t="shared" si="23"/>
        <v>0</v>
      </c>
      <c r="G99" s="22">
        <f t="shared" si="23"/>
        <v>62.1</v>
      </c>
      <c r="H99" s="22">
        <f t="shared" si="23"/>
        <v>3.8</v>
      </c>
      <c r="I99" s="22">
        <f t="shared" si="23"/>
        <v>159.2</v>
      </c>
      <c r="J99" s="22">
        <f t="shared" si="23"/>
        <v>0</v>
      </c>
      <c r="K99" s="22">
        <f t="shared" si="23"/>
        <v>19.099999999999994</v>
      </c>
      <c r="L99" s="22">
        <f t="shared" si="23"/>
        <v>346.90000000000003</v>
      </c>
      <c r="M99" s="22">
        <f t="shared" si="23"/>
        <v>0</v>
      </c>
      <c r="N99" s="22">
        <f t="shared" si="23"/>
        <v>0</v>
      </c>
      <c r="O99" s="22">
        <f t="shared" si="23"/>
        <v>149.29999999999998</v>
      </c>
      <c r="P99" s="22">
        <f t="shared" si="23"/>
        <v>31.4</v>
      </c>
      <c r="Q99" s="22">
        <f t="shared" si="23"/>
        <v>541.5</v>
      </c>
      <c r="R99" s="22">
        <f t="shared" si="23"/>
        <v>285.1</v>
      </c>
      <c r="S99" s="22">
        <f t="shared" si="23"/>
        <v>0</v>
      </c>
      <c r="T99" s="22">
        <f t="shared" si="23"/>
        <v>284.5</v>
      </c>
      <c r="U99" s="22">
        <f t="shared" si="23"/>
        <v>38.1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1922.1999999999998</v>
      </c>
      <c r="AG99" s="27">
        <f>B99+C99-AF99</f>
        <v>948.0999999999999</v>
      </c>
    </row>
    <row r="100" spans="1:33" ht="12.75">
      <c r="A100" s="1" t="s">
        <v>41</v>
      </c>
      <c r="B100" s="2">
        <f aca="true" t="shared" si="24" ref="B100:U100">B94-B95-B96-B97-B98-B99</f>
        <v>77924.19999999995</v>
      </c>
      <c r="C100" s="2">
        <f t="shared" si="24"/>
        <v>9317.200000000003</v>
      </c>
      <c r="D100" s="2">
        <f t="shared" si="24"/>
        <v>7322.4</v>
      </c>
      <c r="E100" s="2">
        <f t="shared" si="24"/>
        <v>521.7000000000002</v>
      </c>
      <c r="F100" s="2">
        <f t="shared" si="24"/>
        <v>1144.8</v>
      </c>
      <c r="G100" s="2">
        <f t="shared" si="24"/>
        <v>2743.7000000000003</v>
      </c>
      <c r="H100" s="2">
        <f t="shared" si="24"/>
        <v>631.1999999999999</v>
      </c>
      <c r="I100" s="2">
        <f t="shared" si="24"/>
        <v>897.3999999999999</v>
      </c>
      <c r="J100" s="2">
        <f t="shared" si="24"/>
        <v>0</v>
      </c>
      <c r="K100" s="2">
        <f t="shared" si="24"/>
        <v>873.9999999999962</v>
      </c>
      <c r="L100" s="2">
        <f t="shared" si="24"/>
        <v>2656.7000000000016</v>
      </c>
      <c r="M100" s="2">
        <f t="shared" si="24"/>
        <v>561.4999999999999</v>
      </c>
      <c r="N100" s="2">
        <f t="shared" si="24"/>
        <v>6654</v>
      </c>
      <c r="O100" s="2">
        <f t="shared" si="24"/>
        <v>829.3000000000003</v>
      </c>
      <c r="P100" s="2">
        <f t="shared" si="24"/>
        <v>116.10000000000014</v>
      </c>
      <c r="Q100" s="2">
        <f t="shared" si="24"/>
        <v>6102.200000000001</v>
      </c>
      <c r="R100" s="2">
        <f t="shared" si="24"/>
        <v>1378.9</v>
      </c>
      <c r="S100" s="2">
        <f t="shared" si="24"/>
        <v>241.19999999999965</v>
      </c>
      <c r="T100" s="2">
        <f t="shared" si="24"/>
        <v>1043.9999999999995</v>
      </c>
      <c r="U100" s="2">
        <f t="shared" si="24"/>
        <v>367.0000000000003</v>
      </c>
      <c r="V100" s="2">
        <f>V94-V95-V96-V97-V98-V99</f>
        <v>2821.2000000000007</v>
      </c>
      <c r="W100" s="2">
        <f>W94-W95-W96-W97-W98-W99</f>
        <v>5537.4</v>
      </c>
      <c r="X100" s="2">
        <f aca="true" t="shared" si="25" ref="X100:AD100">X94-X95-X96-X97-X98-X99</f>
        <v>11388.9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53833.59999999999</v>
      </c>
      <c r="AG100" s="2">
        <f>AG94-AG95-AG96-AG97-AG98-AG99</f>
        <v>33407.799999999996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L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K28" sqref="AK2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60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61</v>
      </c>
      <c r="C4" s="9" t="s">
        <v>19</v>
      </c>
      <c r="D4" s="9">
        <v>4</v>
      </c>
      <c r="E4" s="8">
        <v>5</v>
      </c>
      <c r="F4" s="8">
        <v>6</v>
      </c>
      <c r="G4" s="8">
        <v>10</v>
      </c>
      <c r="H4" s="8">
        <v>11</v>
      </c>
      <c r="I4" s="8">
        <v>12</v>
      </c>
      <c r="J4" s="19">
        <v>13</v>
      </c>
      <c r="K4" s="8">
        <v>16</v>
      </c>
      <c r="L4" s="8">
        <v>17</v>
      </c>
      <c r="M4" s="8">
        <v>18</v>
      </c>
      <c r="N4" s="8">
        <v>19</v>
      </c>
      <c r="O4" s="8">
        <v>20</v>
      </c>
      <c r="P4" s="8">
        <v>23</v>
      </c>
      <c r="Q4" s="8">
        <v>24</v>
      </c>
      <c r="R4" s="8">
        <v>25</v>
      </c>
      <c r="S4" s="19">
        <v>26</v>
      </c>
      <c r="T4" s="19">
        <v>27</v>
      </c>
      <c r="U4" s="8">
        <v>30</v>
      </c>
      <c r="V4" s="8">
        <v>31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/>
      <c r="F5" s="46"/>
      <c r="G5" s="46">
        <v>907</v>
      </c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38047.4</v>
      </c>
      <c r="C7" s="72">
        <v>7609.9</v>
      </c>
      <c r="D7" s="45"/>
      <c r="E7" s="46">
        <v>19023.7</v>
      </c>
      <c r="F7" s="46"/>
      <c r="G7" s="46"/>
      <c r="H7" s="74"/>
      <c r="I7" s="46">
        <v>19023.7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8179.7</v>
      </c>
      <c r="AF7" s="72"/>
      <c r="AG7" s="48"/>
    </row>
    <row r="8" spans="1:55" ht="18" customHeight="1">
      <c r="A8" s="60" t="s">
        <v>34</v>
      </c>
      <c r="B8" s="40">
        <f>SUM(D8:AB8)</f>
        <v>92355.00000000001</v>
      </c>
      <c r="C8" s="40">
        <v>165000</v>
      </c>
      <c r="D8" s="43">
        <v>11184.7</v>
      </c>
      <c r="E8" s="55">
        <v>5729.7</v>
      </c>
      <c r="F8" s="55">
        <v>4510.4</v>
      </c>
      <c r="G8" s="55">
        <v>6807.2</v>
      </c>
      <c r="H8" s="55">
        <v>2075.7</v>
      </c>
      <c r="I8" s="55">
        <v>2376.6</v>
      </c>
      <c r="J8" s="56">
        <v>2266.8</v>
      </c>
      <c r="K8" s="55">
        <v>5847.2</v>
      </c>
      <c r="L8" s="55">
        <v>4253.8</v>
      </c>
      <c r="M8" s="55">
        <v>2509.3</v>
      </c>
      <c r="N8" s="55">
        <v>3883.7</v>
      </c>
      <c r="O8" s="55">
        <v>4988.6</v>
      </c>
      <c r="P8" s="55">
        <v>5732.5</v>
      </c>
      <c r="Q8" s="55">
        <v>3884</v>
      </c>
      <c r="R8" s="55">
        <v>3638.2</v>
      </c>
      <c r="S8" s="57">
        <v>4114.2</v>
      </c>
      <c r="T8" s="57">
        <v>2305.1</v>
      </c>
      <c r="U8" s="55">
        <v>7356.3</v>
      </c>
      <c r="V8" s="55">
        <v>8891</v>
      </c>
      <c r="W8" s="55"/>
      <c r="X8" s="56"/>
      <c r="Y8" s="56"/>
      <c r="Z8" s="56"/>
      <c r="AA8" s="56"/>
      <c r="AB8" s="55"/>
      <c r="AC8" s="23"/>
      <c r="AD8" s="23"/>
      <c r="AE8" s="61">
        <v>145603.6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151397.49999999997</v>
      </c>
      <c r="C9" s="24">
        <f t="shared" si="0"/>
        <v>55187.8</v>
      </c>
      <c r="D9" s="24">
        <f t="shared" si="0"/>
        <v>11191.2</v>
      </c>
      <c r="E9" s="24">
        <f t="shared" si="0"/>
        <v>5730.9</v>
      </c>
      <c r="F9" s="24">
        <f t="shared" si="0"/>
        <v>4537.8</v>
      </c>
      <c r="G9" s="24">
        <f t="shared" si="0"/>
        <v>6807.2</v>
      </c>
      <c r="H9" s="24">
        <f t="shared" si="0"/>
        <v>18306</v>
      </c>
      <c r="I9" s="24">
        <f t="shared" si="0"/>
        <v>3776.1</v>
      </c>
      <c r="J9" s="24">
        <f t="shared" si="0"/>
        <v>2308.5</v>
      </c>
      <c r="K9" s="24">
        <f t="shared" si="0"/>
        <v>6192.2</v>
      </c>
      <c r="L9" s="24">
        <f t="shared" si="0"/>
        <v>6161.5</v>
      </c>
      <c r="M9" s="24">
        <f t="shared" si="0"/>
        <v>2560.3999999999996</v>
      </c>
      <c r="N9" s="24">
        <f t="shared" si="0"/>
        <v>3909.4</v>
      </c>
      <c r="O9" s="24">
        <f t="shared" si="0"/>
        <v>7686.5</v>
      </c>
      <c r="P9" s="24">
        <f t="shared" si="0"/>
        <v>6791</v>
      </c>
      <c r="Q9" s="24">
        <f t="shared" si="0"/>
        <v>3884</v>
      </c>
      <c r="R9" s="24">
        <f t="shared" si="0"/>
        <v>26330.699999999997</v>
      </c>
      <c r="S9" s="24">
        <f t="shared" si="0"/>
        <v>14502.7</v>
      </c>
      <c r="T9" s="24">
        <f t="shared" si="0"/>
        <v>3119.6000000000004</v>
      </c>
      <c r="U9" s="24">
        <f t="shared" si="0"/>
        <v>7363.299999999999</v>
      </c>
      <c r="V9" s="24">
        <f t="shared" si="0"/>
        <v>8977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150136.00000000003</v>
      </c>
      <c r="AG9" s="50">
        <f>AG10+AG15+AG24+AG33+AG47+AG52+AG54+AG61+AG62+AG71+AG72+AG76+AG88+AG81+AG83+AG82+AG69+AG89+AG91+AG90+AG70+AG40+AG92</f>
        <v>56449.299999999974</v>
      </c>
      <c r="AH9" s="49"/>
      <c r="AI9" s="49"/>
    </row>
    <row r="10" spans="1:33" ht="15.75">
      <c r="A10" s="4" t="s">
        <v>4</v>
      </c>
      <c r="B10" s="22">
        <f>4868.4+847.6</f>
        <v>5716</v>
      </c>
      <c r="C10" s="22">
        <v>3231.2</v>
      </c>
      <c r="D10" s="22">
        <v>18.6</v>
      </c>
      <c r="E10" s="22">
        <v>107.2</v>
      </c>
      <c r="F10" s="22">
        <v>4</v>
      </c>
      <c r="G10" s="22">
        <v>9.2</v>
      </c>
      <c r="H10" s="22">
        <v>402.1</v>
      </c>
      <c r="I10" s="22">
        <v>1080.5</v>
      </c>
      <c r="J10" s="25">
        <v>48.3</v>
      </c>
      <c r="K10" s="22">
        <v>35.5</v>
      </c>
      <c r="L10" s="22">
        <v>8</v>
      </c>
      <c r="M10" s="22">
        <v>23.7</v>
      </c>
      <c r="N10" s="22">
        <v>26.9</v>
      </c>
      <c r="O10" s="27">
        <v>18.2</v>
      </c>
      <c r="P10" s="22">
        <v>6.8</v>
      </c>
      <c r="Q10" s="22">
        <v>78.9</v>
      </c>
      <c r="R10" s="22">
        <v>201.6</v>
      </c>
      <c r="S10" s="26">
        <v>1354.3</v>
      </c>
      <c r="T10" s="26">
        <v>1492.6</v>
      </c>
      <c r="U10" s="26">
        <v>499.4</v>
      </c>
      <c r="V10" s="26">
        <v>1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5416.799999999999</v>
      </c>
      <c r="AG10" s="27">
        <f>B10+C10-AF10</f>
        <v>3530.4000000000015</v>
      </c>
    </row>
    <row r="11" spans="1:33" ht="15.75">
      <c r="A11" s="3" t="s">
        <v>5</v>
      </c>
      <c r="B11" s="22">
        <f>4203+107</f>
        <v>4310</v>
      </c>
      <c r="C11" s="22">
        <v>1835.6</v>
      </c>
      <c r="D11" s="22">
        <v>8.4</v>
      </c>
      <c r="E11" s="22">
        <v>36.6</v>
      </c>
      <c r="F11" s="22"/>
      <c r="G11" s="22">
        <v>9.2</v>
      </c>
      <c r="H11" s="22">
        <v>344.5</v>
      </c>
      <c r="I11" s="22">
        <v>935.5</v>
      </c>
      <c r="J11" s="26">
        <v>9.7</v>
      </c>
      <c r="K11" s="22">
        <v>19.9</v>
      </c>
      <c r="L11" s="22"/>
      <c r="M11" s="22">
        <v>9.5</v>
      </c>
      <c r="N11" s="22">
        <v>1.6</v>
      </c>
      <c r="O11" s="27">
        <v>16.7</v>
      </c>
      <c r="P11" s="22"/>
      <c r="Q11" s="22"/>
      <c r="R11" s="22"/>
      <c r="S11" s="26">
        <v>728.3</v>
      </c>
      <c r="T11" s="26">
        <v>1292.1</v>
      </c>
      <c r="U11" s="26">
        <v>321.1</v>
      </c>
      <c r="V11" s="26">
        <v>0.8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3733.9</v>
      </c>
      <c r="AG11" s="27">
        <f>B11+C11-AF11</f>
        <v>2411.7000000000003</v>
      </c>
    </row>
    <row r="12" spans="1:33" ht="15.75">
      <c r="A12" s="3" t="s">
        <v>2</v>
      </c>
      <c r="B12" s="36">
        <v>107.7</v>
      </c>
      <c r="C12" s="22">
        <f>601-251.9</f>
        <v>349.1</v>
      </c>
      <c r="D12" s="22">
        <v>10.2</v>
      </c>
      <c r="E12" s="22">
        <v>1.4</v>
      </c>
      <c r="F12" s="22">
        <v>0.2</v>
      </c>
      <c r="G12" s="22"/>
      <c r="H12" s="22">
        <v>22</v>
      </c>
      <c r="I12" s="22">
        <v>131.7</v>
      </c>
      <c r="J12" s="26"/>
      <c r="K12" s="22"/>
      <c r="L12" s="22"/>
      <c r="M12" s="22"/>
      <c r="N12" s="22">
        <v>1.9</v>
      </c>
      <c r="O12" s="27"/>
      <c r="P12" s="22"/>
      <c r="Q12" s="22"/>
      <c r="R12" s="22">
        <v>1.6</v>
      </c>
      <c r="S12" s="26">
        <v>30.8</v>
      </c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199.8</v>
      </c>
      <c r="AG12" s="27">
        <f>B12+C12-AF12</f>
        <v>257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1298.3</v>
      </c>
      <c r="C14" s="22">
        <f t="shared" si="2"/>
        <v>1046.5</v>
      </c>
      <c r="D14" s="22">
        <f t="shared" si="2"/>
        <v>1.7763568394002505E-15</v>
      </c>
      <c r="E14" s="22">
        <f t="shared" si="2"/>
        <v>69.19999999999999</v>
      </c>
      <c r="F14" s="22">
        <f t="shared" si="2"/>
        <v>3.8</v>
      </c>
      <c r="G14" s="22">
        <f t="shared" si="2"/>
        <v>0</v>
      </c>
      <c r="H14" s="22">
        <f t="shared" si="2"/>
        <v>35.60000000000002</v>
      </c>
      <c r="I14" s="22">
        <f t="shared" si="2"/>
        <v>13.300000000000011</v>
      </c>
      <c r="J14" s="22">
        <f t="shared" si="2"/>
        <v>38.599999999999994</v>
      </c>
      <c r="K14" s="22">
        <f t="shared" si="2"/>
        <v>15.600000000000001</v>
      </c>
      <c r="L14" s="22">
        <f t="shared" si="2"/>
        <v>8</v>
      </c>
      <c r="M14" s="22">
        <f t="shared" si="2"/>
        <v>14.2</v>
      </c>
      <c r="N14" s="22">
        <f t="shared" si="2"/>
        <v>23.4</v>
      </c>
      <c r="O14" s="22">
        <f t="shared" si="2"/>
        <v>1.5</v>
      </c>
      <c r="P14" s="22">
        <f t="shared" si="2"/>
        <v>6.8</v>
      </c>
      <c r="Q14" s="22">
        <f t="shared" si="2"/>
        <v>78.9</v>
      </c>
      <c r="R14" s="22">
        <f t="shared" si="2"/>
        <v>200</v>
      </c>
      <c r="S14" s="22">
        <f t="shared" si="2"/>
        <v>595.2</v>
      </c>
      <c r="T14" s="22">
        <f t="shared" si="2"/>
        <v>200.5</v>
      </c>
      <c r="U14" s="22">
        <f t="shared" si="2"/>
        <v>178.29999999999995</v>
      </c>
      <c r="V14" s="22">
        <f t="shared" si="2"/>
        <v>0.19999999999999996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1483.1</v>
      </c>
      <c r="AG14" s="27">
        <f>AG10-AG11-AG12-AG13</f>
        <v>861.7000000000012</v>
      </c>
    </row>
    <row r="15" spans="1:33" ht="15" customHeight="1">
      <c r="A15" s="4" t="s">
        <v>6</v>
      </c>
      <c r="B15" s="22">
        <f>43479.3+6.1+0.1</f>
        <v>43485.5</v>
      </c>
      <c r="C15" s="22">
        <v>14914.7</v>
      </c>
      <c r="D15" s="44">
        <v>268.9</v>
      </c>
      <c r="E15" s="44">
        <v>7.9</v>
      </c>
      <c r="F15" s="22">
        <v>473.7</v>
      </c>
      <c r="G15" s="22"/>
      <c r="H15" s="22">
        <v>10209.7</v>
      </c>
      <c r="I15" s="22">
        <v>758.2</v>
      </c>
      <c r="J15" s="26">
        <v>212.3</v>
      </c>
      <c r="K15" s="22"/>
      <c r="L15" s="22">
        <v>2689.8</v>
      </c>
      <c r="M15" s="22">
        <v>41.5</v>
      </c>
      <c r="N15" s="22">
        <v>25.8</v>
      </c>
      <c r="O15" s="27">
        <f>2057.7-7.7</f>
        <v>2050</v>
      </c>
      <c r="P15" s="22">
        <v>255.5</v>
      </c>
      <c r="Q15" s="27">
        <v>786.6</v>
      </c>
      <c r="R15" s="22">
        <v>23738.6</v>
      </c>
      <c r="S15" s="26">
        <v>706.6</v>
      </c>
      <c r="T15" s="26">
        <v>788.4</v>
      </c>
      <c r="U15" s="26">
        <v>78.8</v>
      </c>
      <c r="V15" s="26">
        <v>108.9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43201.200000000004</v>
      </c>
      <c r="AG15" s="27">
        <f aca="true" t="shared" si="3" ref="AG15:AG31">B15+C15-AF15</f>
        <v>15198.999999999993</v>
      </c>
    </row>
    <row r="16" spans="1:34" s="70" customFormat="1" ht="15" customHeight="1">
      <c r="A16" s="65" t="s">
        <v>46</v>
      </c>
      <c r="B16" s="66">
        <f>23103.4-424.6</f>
        <v>22678.800000000003</v>
      </c>
      <c r="C16" s="66">
        <v>855.5</v>
      </c>
      <c r="D16" s="67"/>
      <c r="E16" s="67"/>
      <c r="F16" s="66">
        <v>27.4</v>
      </c>
      <c r="G16" s="66"/>
      <c r="H16" s="66">
        <v>5784.8</v>
      </c>
      <c r="I16" s="66">
        <v>41.1</v>
      </c>
      <c r="J16" s="68"/>
      <c r="K16" s="66"/>
      <c r="L16" s="66">
        <v>1904.1</v>
      </c>
      <c r="M16" s="66">
        <v>40</v>
      </c>
      <c r="N16" s="66">
        <v>25.8</v>
      </c>
      <c r="O16" s="69"/>
      <c r="P16" s="66">
        <v>254.5</v>
      </c>
      <c r="Q16" s="69"/>
      <c r="R16" s="66">
        <v>13765.2</v>
      </c>
      <c r="S16" s="68">
        <v>44.5</v>
      </c>
      <c r="T16" s="68">
        <v>90.5</v>
      </c>
      <c r="U16" s="68">
        <v>6.9</v>
      </c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21984.800000000003</v>
      </c>
      <c r="AG16" s="71">
        <f t="shared" si="3"/>
        <v>1549.5</v>
      </c>
      <c r="AH16" s="75"/>
    </row>
    <row r="17" spans="1:34" ht="15.75">
      <c r="A17" s="3" t="s">
        <v>5</v>
      </c>
      <c r="B17" s="22">
        <f>35472-1930.3+1.3</f>
        <v>33543</v>
      </c>
      <c r="C17" s="22">
        <v>1425.8</v>
      </c>
      <c r="D17" s="22"/>
      <c r="E17" s="22"/>
      <c r="F17" s="22">
        <v>8.5</v>
      </c>
      <c r="G17" s="22"/>
      <c r="H17" s="22">
        <v>10209.4</v>
      </c>
      <c r="I17" s="22"/>
      <c r="J17" s="26"/>
      <c r="K17" s="22"/>
      <c r="L17" s="22"/>
      <c r="M17" s="22"/>
      <c r="N17" s="22"/>
      <c r="O17" s="27"/>
      <c r="P17" s="22"/>
      <c r="Q17" s="27"/>
      <c r="R17" s="22">
        <v>23441.7</v>
      </c>
      <c r="S17" s="26">
        <v>11</v>
      </c>
      <c r="T17" s="26">
        <v>0.7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33671.299999999996</v>
      </c>
      <c r="AG17" s="27">
        <f t="shared" si="3"/>
        <v>1297.5000000000073</v>
      </c>
      <c r="AH17" s="6"/>
    </row>
    <row r="18" spans="1:33" ht="15.75">
      <c r="A18" s="3" t="s">
        <v>3</v>
      </c>
      <c r="B18" s="22">
        <v>13.4</v>
      </c>
      <c r="C18" s="22">
        <v>10.4</v>
      </c>
      <c r="D18" s="22"/>
      <c r="E18" s="22"/>
      <c r="F18" s="22"/>
      <c r="G18" s="22"/>
      <c r="H18" s="22"/>
      <c r="I18" s="22"/>
      <c r="J18" s="26"/>
      <c r="K18" s="22"/>
      <c r="L18" s="22">
        <v>1.9</v>
      </c>
      <c r="M18" s="22"/>
      <c r="N18" s="22"/>
      <c r="O18" s="27">
        <v>2.9</v>
      </c>
      <c r="P18" s="22">
        <v>1.2</v>
      </c>
      <c r="Q18" s="27"/>
      <c r="R18" s="22"/>
      <c r="S18" s="26">
        <v>0.4</v>
      </c>
      <c r="T18" s="26">
        <v>1.1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7.5</v>
      </c>
      <c r="AG18" s="27">
        <f t="shared" si="3"/>
        <v>16.3</v>
      </c>
    </row>
    <row r="19" spans="1:33" ht="15.75">
      <c r="A19" s="3" t="s">
        <v>1</v>
      </c>
      <c r="B19" s="22">
        <f>3609-28.1</f>
        <v>3580.9</v>
      </c>
      <c r="C19" s="22">
        <v>3647</v>
      </c>
      <c r="D19" s="22">
        <v>264.4</v>
      </c>
      <c r="E19" s="22"/>
      <c r="F19" s="22">
        <v>10.5</v>
      </c>
      <c r="G19" s="22"/>
      <c r="H19" s="22"/>
      <c r="I19" s="22">
        <v>355.1</v>
      </c>
      <c r="J19" s="26">
        <v>1.5</v>
      </c>
      <c r="K19" s="22"/>
      <c r="L19" s="22">
        <v>262.2</v>
      </c>
      <c r="M19" s="22">
        <v>1.5</v>
      </c>
      <c r="N19" s="22"/>
      <c r="O19" s="27">
        <f>797-7.7</f>
        <v>789.3</v>
      </c>
      <c r="P19" s="22">
        <v>6.1</v>
      </c>
      <c r="Q19" s="27">
        <v>101.2</v>
      </c>
      <c r="R19" s="22">
        <v>159</v>
      </c>
      <c r="S19" s="26">
        <v>638.7</v>
      </c>
      <c r="T19" s="26">
        <v>417.1</v>
      </c>
      <c r="U19" s="26">
        <v>1.5</v>
      </c>
      <c r="V19" s="26">
        <v>108.9</v>
      </c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3117</v>
      </c>
      <c r="AG19" s="27">
        <f t="shared" si="3"/>
        <v>4110.9</v>
      </c>
    </row>
    <row r="20" spans="1:33" ht="15.75">
      <c r="A20" s="3" t="s">
        <v>2</v>
      </c>
      <c r="B20" s="22">
        <f>1246.2+1930.3-143+0.1</f>
        <v>3033.6</v>
      </c>
      <c r="C20" s="22">
        <v>6856.5</v>
      </c>
      <c r="D20" s="22">
        <v>4.5</v>
      </c>
      <c r="E20" s="22"/>
      <c r="F20" s="22">
        <v>241.1</v>
      </c>
      <c r="G20" s="22"/>
      <c r="H20" s="22"/>
      <c r="I20" s="22">
        <v>133.7</v>
      </c>
      <c r="J20" s="26"/>
      <c r="K20" s="22"/>
      <c r="L20" s="22">
        <v>2045.4</v>
      </c>
      <c r="M20" s="22">
        <v>40</v>
      </c>
      <c r="N20" s="22">
        <v>25.8</v>
      </c>
      <c r="O20" s="27">
        <v>712.2</v>
      </c>
      <c r="P20" s="22">
        <v>172.5</v>
      </c>
      <c r="Q20" s="27">
        <v>300.5</v>
      </c>
      <c r="R20" s="22">
        <v>9.8</v>
      </c>
      <c r="S20" s="26">
        <v>35.6</v>
      </c>
      <c r="T20" s="26">
        <v>53.9</v>
      </c>
      <c r="U20" s="26">
        <v>72.6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3847.6</v>
      </c>
      <c r="AG20" s="27">
        <f t="shared" si="3"/>
        <v>6042.5</v>
      </c>
    </row>
    <row r="21" spans="1:33" ht="15.75">
      <c r="A21" s="3" t="s">
        <v>17</v>
      </c>
      <c r="B21" s="22">
        <f>1199.7+28</f>
        <v>1227.7</v>
      </c>
      <c r="C21" s="22">
        <v>300</v>
      </c>
      <c r="D21" s="22"/>
      <c r="E21" s="22"/>
      <c r="F21" s="22">
        <v>1.2</v>
      </c>
      <c r="G21" s="22"/>
      <c r="H21" s="22"/>
      <c r="I21" s="22">
        <v>181.4</v>
      </c>
      <c r="J21" s="26"/>
      <c r="K21" s="22"/>
      <c r="L21" s="22">
        <v>178.6</v>
      </c>
      <c r="M21" s="22"/>
      <c r="N21" s="22"/>
      <c r="O21" s="27">
        <v>208.7</v>
      </c>
      <c r="P21" s="22"/>
      <c r="Q21" s="27">
        <v>296.2</v>
      </c>
      <c r="R21" s="22"/>
      <c r="S21" s="26"/>
      <c r="T21" s="26">
        <v>195.1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1061.1999999999998</v>
      </c>
      <c r="AG21" s="27">
        <f t="shared" si="3"/>
        <v>466.5000000000002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2086.9000000000005</v>
      </c>
      <c r="C23" s="22">
        <f t="shared" si="4"/>
        <v>2675.000000000002</v>
      </c>
      <c r="D23" s="22">
        <f t="shared" si="4"/>
        <v>0</v>
      </c>
      <c r="E23" s="22">
        <f t="shared" si="4"/>
        <v>7.9</v>
      </c>
      <c r="F23" s="22">
        <f t="shared" si="4"/>
        <v>212.4</v>
      </c>
      <c r="G23" s="22">
        <f t="shared" si="4"/>
        <v>0</v>
      </c>
      <c r="H23" s="22">
        <f t="shared" si="4"/>
        <v>0.3000000000010914</v>
      </c>
      <c r="I23" s="22">
        <f t="shared" si="4"/>
        <v>88.00000000000003</v>
      </c>
      <c r="J23" s="22">
        <f t="shared" si="4"/>
        <v>210.8</v>
      </c>
      <c r="K23" s="22">
        <f t="shared" si="4"/>
        <v>0</v>
      </c>
      <c r="L23" s="22">
        <f t="shared" si="4"/>
        <v>201.7000000000002</v>
      </c>
      <c r="M23" s="22">
        <f t="shared" si="4"/>
        <v>0</v>
      </c>
      <c r="N23" s="22">
        <f t="shared" si="4"/>
        <v>0</v>
      </c>
      <c r="O23" s="22">
        <f t="shared" si="4"/>
        <v>336.8999999999999</v>
      </c>
      <c r="P23" s="22">
        <f t="shared" si="4"/>
        <v>75.70000000000002</v>
      </c>
      <c r="Q23" s="22">
        <f t="shared" si="4"/>
        <v>88.69999999999999</v>
      </c>
      <c r="R23" s="22">
        <f t="shared" si="4"/>
        <v>128.0999999999978</v>
      </c>
      <c r="S23" s="22">
        <f t="shared" si="4"/>
        <v>20.9</v>
      </c>
      <c r="T23" s="22">
        <f t="shared" si="4"/>
        <v>120.49999999999991</v>
      </c>
      <c r="U23" s="22">
        <f t="shared" si="4"/>
        <v>4.700000000000003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1496.5999999999995</v>
      </c>
      <c r="AG23" s="27">
        <f t="shared" si="3"/>
        <v>3265.300000000003</v>
      </c>
    </row>
    <row r="24" spans="1:33" ht="15" customHeight="1">
      <c r="A24" s="4" t="s">
        <v>7</v>
      </c>
      <c r="B24" s="22">
        <v>22106.3</v>
      </c>
      <c r="C24" s="22">
        <v>4896.3</v>
      </c>
      <c r="D24" s="22">
        <v>78.2</v>
      </c>
      <c r="E24" s="22">
        <v>1.3</v>
      </c>
      <c r="F24" s="22">
        <v>4.3</v>
      </c>
      <c r="G24" s="22"/>
      <c r="H24" s="22">
        <v>6209</v>
      </c>
      <c r="I24" s="22">
        <v>1529</v>
      </c>
      <c r="J24" s="26">
        <v>9.3</v>
      </c>
      <c r="K24" s="22">
        <v>345</v>
      </c>
      <c r="L24" s="22">
        <v>3.7</v>
      </c>
      <c r="M24" s="22">
        <v>11.2</v>
      </c>
      <c r="N24" s="22"/>
      <c r="O24" s="27">
        <v>1210.1</v>
      </c>
      <c r="P24" s="22">
        <v>3</v>
      </c>
      <c r="Q24" s="27"/>
      <c r="R24" s="27"/>
      <c r="S24" s="26">
        <v>10814</v>
      </c>
      <c r="T24" s="26">
        <v>393.8</v>
      </c>
      <c r="U24" s="26"/>
      <c r="V24" s="26">
        <v>312.6</v>
      </c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20924.499999999996</v>
      </c>
      <c r="AG24" s="27">
        <f t="shared" si="3"/>
        <v>6078.100000000002</v>
      </c>
    </row>
    <row r="25" spans="1:34" s="70" customFormat="1" ht="15" customHeight="1">
      <c r="A25" s="65" t="s">
        <v>47</v>
      </c>
      <c r="B25" s="66">
        <f>20729.1-4835.2+25.1</f>
        <v>15918.999999999998</v>
      </c>
      <c r="C25" s="66">
        <v>2852.3</v>
      </c>
      <c r="D25" s="66">
        <v>6.3</v>
      </c>
      <c r="E25" s="66">
        <v>1.3</v>
      </c>
      <c r="F25" s="66"/>
      <c r="G25" s="66"/>
      <c r="H25" s="66">
        <v>6209</v>
      </c>
      <c r="I25" s="66">
        <v>1390.7</v>
      </c>
      <c r="J25" s="68">
        <v>9.3</v>
      </c>
      <c r="K25" s="66">
        <v>345</v>
      </c>
      <c r="L25" s="66">
        <v>3.7</v>
      </c>
      <c r="M25" s="66">
        <v>11.2</v>
      </c>
      <c r="N25" s="66"/>
      <c r="O25" s="69">
        <v>1094.2</v>
      </c>
      <c r="P25" s="66">
        <v>3</v>
      </c>
      <c r="Q25" s="69"/>
      <c r="R25" s="69"/>
      <c r="S25" s="68">
        <v>6313.1</v>
      </c>
      <c r="T25" s="68">
        <v>20</v>
      </c>
      <c r="U25" s="68"/>
      <c r="V25" s="68">
        <v>86.1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15492.900000000001</v>
      </c>
      <c r="AG25" s="71">
        <f t="shared" si="3"/>
        <v>3278.399999999998</v>
      </c>
      <c r="AH25" s="75"/>
    </row>
    <row r="26" spans="1:34" ht="15.75">
      <c r="A26" s="3" t="s">
        <v>5</v>
      </c>
      <c r="B26" s="22">
        <f>15810.5+119.4</f>
        <v>15929.9</v>
      </c>
      <c r="C26" s="22">
        <v>1295.2</v>
      </c>
      <c r="D26" s="22"/>
      <c r="E26" s="22"/>
      <c r="F26" s="22"/>
      <c r="G26" s="22"/>
      <c r="H26" s="22">
        <v>6209</v>
      </c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>
        <v>10229</v>
      </c>
      <c r="T26" s="26">
        <v>319.3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16757.3</v>
      </c>
      <c r="AG26" s="27">
        <f t="shared" si="3"/>
        <v>467.7999999999993</v>
      </c>
      <c r="AH26" s="6"/>
    </row>
    <row r="27" spans="1:33" ht="15.75">
      <c r="A27" s="3" t="s">
        <v>3</v>
      </c>
      <c r="B27" s="22">
        <f>2805.4-124.4</f>
        <v>2681</v>
      </c>
      <c r="C27" s="22">
        <v>1379.8</v>
      </c>
      <c r="D27" s="22">
        <v>71.8</v>
      </c>
      <c r="E27" s="22"/>
      <c r="F27" s="22">
        <v>4.3</v>
      </c>
      <c r="G27" s="22"/>
      <c r="H27" s="22"/>
      <c r="I27" s="22">
        <v>281.4</v>
      </c>
      <c r="J27" s="26">
        <v>8.6</v>
      </c>
      <c r="K27" s="22">
        <v>37.8</v>
      </c>
      <c r="L27" s="22"/>
      <c r="M27" s="22"/>
      <c r="N27" s="22"/>
      <c r="O27" s="27">
        <v>540.8</v>
      </c>
      <c r="P27" s="22"/>
      <c r="Q27" s="27"/>
      <c r="R27" s="22"/>
      <c r="S27" s="26">
        <v>303.1</v>
      </c>
      <c r="T27" s="26">
        <v>41.5</v>
      </c>
      <c r="U27" s="26"/>
      <c r="V27" s="26">
        <v>125.6</v>
      </c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1414.9</v>
      </c>
      <c r="AG27" s="27">
        <f t="shared" si="3"/>
        <v>2645.9</v>
      </c>
    </row>
    <row r="28" spans="1:33" ht="15.75">
      <c r="A28" s="3" t="s">
        <v>1</v>
      </c>
      <c r="B28" s="22">
        <v>341.5</v>
      </c>
      <c r="C28" s="22">
        <v>62.3</v>
      </c>
      <c r="D28" s="22">
        <v>0.2</v>
      </c>
      <c r="E28" s="22"/>
      <c r="F28" s="22"/>
      <c r="G28" s="22"/>
      <c r="H28" s="22"/>
      <c r="I28" s="22">
        <v>54.7</v>
      </c>
      <c r="J28" s="26"/>
      <c r="K28" s="22">
        <v>9.9</v>
      </c>
      <c r="L28" s="22"/>
      <c r="M28" s="22"/>
      <c r="N28" s="22"/>
      <c r="O28" s="27">
        <v>37.6</v>
      </c>
      <c r="P28" s="22"/>
      <c r="Q28" s="27"/>
      <c r="R28" s="22"/>
      <c r="S28" s="26">
        <v>110.2</v>
      </c>
      <c r="T28" s="26"/>
      <c r="U28" s="26"/>
      <c r="V28" s="26">
        <v>182.3</v>
      </c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394.90000000000003</v>
      </c>
      <c r="AG28" s="27">
        <f t="shared" si="3"/>
        <v>8.899999999999977</v>
      </c>
    </row>
    <row r="29" spans="1:33" ht="15.75">
      <c r="A29" s="3" t="s">
        <v>2</v>
      </c>
      <c r="B29" s="22">
        <v>2552.5</v>
      </c>
      <c r="C29" s="22">
        <v>1702.2</v>
      </c>
      <c r="D29" s="22"/>
      <c r="E29" s="22"/>
      <c r="F29" s="22"/>
      <c r="G29" s="22"/>
      <c r="H29" s="22"/>
      <c r="I29" s="22">
        <v>1001</v>
      </c>
      <c r="J29" s="26"/>
      <c r="K29" s="22">
        <v>189.4</v>
      </c>
      <c r="L29" s="22">
        <v>3.7</v>
      </c>
      <c r="M29" s="22">
        <v>11.2</v>
      </c>
      <c r="N29" s="22"/>
      <c r="O29" s="27">
        <v>527.3</v>
      </c>
      <c r="P29" s="22"/>
      <c r="Q29" s="27"/>
      <c r="R29" s="22"/>
      <c r="S29" s="26">
        <v>61.2</v>
      </c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1793.8000000000002</v>
      </c>
      <c r="AG29" s="27">
        <f t="shared" si="3"/>
        <v>2460.8999999999996</v>
      </c>
    </row>
    <row r="30" spans="1:33" ht="15.75">
      <c r="A30" s="3" t="s">
        <v>17</v>
      </c>
      <c r="B30" s="22">
        <v>134</v>
      </c>
      <c r="C30" s="22">
        <v>21.7</v>
      </c>
      <c r="D30" s="22">
        <v>0.8</v>
      </c>
      <c r="E30" s="22"/>
      <c r="F30" s="22"/>
      <c r="G30" s="22"/>
      <c r="H30" s="22"/>
      <c r="I30" s="22">
        <v>24.6</v>
      </c>
      <c r="J30" s="26"/>
      <c r="K30" s="22">
        <v>83.5</v>
      </c>
      <c r="L30" s="22"/>
      <c r="M30" s="22"/>
      <c r="N30" s="22"/>
      <c r="O30" s="27">
        <v>19.6</v>
      </c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128.5</v>
      </c>
      <c r="AG30" s="27">
        <f t="shared" si="3"/>
        <v>27.19999999999999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467.39999999999964</v>
      </c>
      <c r="C32" s="22">
        <f t="shared" si="5"/>
        <v>435.09999999999997</v>
      </c>
      <c r="D32" s="22">
        <f t="shared" si="5"/>
        <v>5.400000000000006</v>
      </c>
      <c r="E32" s="22">
        <f t="shared" si="5"/>
        <v>1.3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167.29999999999987</v>
      </c>
      <c r="J32" s="22">
        <f t="shared" si="5"/>
        <v>0.7000000000000011</v>
      </c>
      <c r="K32" s="22">
        <f t="shared" si="5"/>
        <v>24.400000000000006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84.79999999999998</v>
      </c>
      <c r="P32" s="22">
        <f t="shared" si="5"/>
        <v>3</v>
      </c>
      <c r="Q32" s="22">
        <f t="shared" si="5"/>
        <v>0</v>
      </c>
      <c r="R32" s="22">
        <f t="shared" si="5"/>
        <v>0</v>
      </c>
      <c r="S32" s="22">
        <f t="shared" si="5"/>
        <v>110.49999999999999</v>
      </c>
      <c r="T32" s="22">
        <f t="shared" si="5"/>
        <v>33</v>
      </c>
      <c r="U32" s="22">
        <f t="shared" si="5"/>
        <v>0</v>
      </c>
      <c r="V32" s="22">
        <f t="shared" si="5"/>
        <v>4.700000000000017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435.0999999999999</v>
      </c>
      <c r="AG32" s="27">
        <f>AG24-AG26-AG27-AG28-AG29-AG30-AG31</f>
        <v>467.4000000000031</v>
      </c>
    </row>
    <row r="33" spans="1:33" ht="15" customHeight="1">
      <c r="A33" s="4" t="s">
        <v>8</v>
      </c>
      <c r="B33" s="22">
        <v>386.7</v>
      </c>
      <c r="C33" s="22">
        <v>163.2</v>
      </c>
      <c r="D33" s="22"/>
      <c r="E33" s="22"/>
      <c r="F33" s="22"/>
      <c r="G33" s="22"/>
      <c r="H33" s="22">
        <v>45.6</v>
      </c>
      <c r="I33" s="22"/>
      <c r="J33" s="26">
        <v>13.8</v>
      </c>
      <c r="K33" s="22"/>
      <c r="L33" s="22"/>
      <c r="M33" s="22"/>
      <c r="N33" s="22"/>
      <c r="O33" s="27"/>
      <c r="P33" s="22">
        <v>0.9</v>
      </c>
      <c r="Q33" s="27"/>
      <c r="R33" s="22"/>
      <c r="S33" s="26">
        <v>95.5</v>
      </c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155.8</v>
      </c>
      <c r="AG33" s="27">
        <f aca="true" t="shared" si="6" ref="AG33:AG38">B33+C33-AF33</f>
        <v>394.09999999999997</v>
      </c>
    </row>
    <row r="34" spans="1:33" ht="15.75">
      <c r="A34" s="3" t="s">
        <v>5</v>
      </c>
      <c r="B34" s="22">
        <f>147.6+2.3</f>
        <v>149.9</v>
      </c>
      <c r="C34" s="22">
        <v>7.3</v>
      </c>
      <c r="D34" s="22"/>
      <c r="E34" s="22"/>
      <c r="F34" s="22"/>
      <c r="G34" s="22"/>
      <c r="H34" s="22">
        <v>41.4</v>
      </c>
      <c r="I34" s="22"/>
      <c r="J34" s="26"/>
      <c r="K34" s="22"/>
      <c r="L34" s="22"/>
      <c r="M34" s="22"/>
      <c r="N34" s="22"/>
      <c r="O34" s="22"/>
      <c r="P34" s="22"/>
      <c r="Q34" s="27"/>
      <c r="R34" s="22"/>
      <c r="S34" s="26">
        <v>92.3</v>
      </c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133.7</v>
      </c>
      <c r="AG34" s="27">
        <f t="shared" si="6"/>
        <v>23.50000000000003</v>
      </c>
    </row>
    <row r="35" spans="1:33" ht="15.75">
      <c r="A35" s="3" t="s">
        <v>1</v>
      </c>
      <c r="B35" s="22">
        <v>165.9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165.9</v>
      </c>
    </row>
    <row r="36" spans="1:33" ht="15.75">
      <c r="A36" s="3" t="s">
        <v>2</v>
      </c>
      <c r="B36" s="44">
        <f>54.1-2.3</f>
        <v>51.800000000000004</v>
      </c>
      <c r="C36" s="22">
        <v>131.8</v>
      </c>
      <c r="D36" s="22"/>
      <c r="E36" s="22"/>
      <c r="F36" s="22"/>
      <c r="G36" s="22"/>
      <c r="H36" s="22"/>
      <c r="I36" s="22"/>
      <c r="J36" s="26">
        <v>12.6</v>
      </c>
      <c r="K36" s="22"/>
      <c r="L36" s="22"/>
      <c r="M36" s="22"/>
      <c r="N36" s="22"/>
      <c r="O36" s="27"/>
      <c r="P36" s="22">
        <v>0.9</v>
      </c>
      <c r="Q36" s="27"/>
      <c r="R36" s="22"/>
      <c r="S36" s="26">
        <v>3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16.5</v>
      </c>
      <c r="AG36" s="27">
        <f t="shared" si="6"/>
        <v>167.10000000000002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19.099999999999966</v>
      </c>
      <c r="C39" s="22">
        <f t="shared" si="7"/>
        <v>24.099999999999966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4.200000000000003</v>
      </c>
      <c r="I39" s="22">
        <f t="shared" si="7"/>
        <v>0</v>
      </c>
      <c r="J39" s="22">
        <f t="shared" si="7"/>
        <v>1.200000000000001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0.20000000000000284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5.600000000000007</v>
      </c>
      <c r="AG39" s="27">
        <f>AG33-AG34-AG36-AG38-AG35-AG37</f>
        <v>37.59999999999988</v>
      </c>
    </row>
    <row r="40" spans="1:33" ht="15" customHeight="1">
      <c r="A40" s="4" t="s">
        <v>33</v>
      </c>
      <c r="B40" s="22">
        <v>616.2</v>
      </c>
      <c r="C40" s="22">
        <v>125.8</v>
      </c>
      <c r="D40" s="22"/>
      <c r="E40" s="22"/>
      <c r="F40" s="22"/>
      <c r="G40" s="22"/>
      <c r="H40" s="22"/>
      <c r="I40" s="22">
        <v>278.3</v>
      </c>
      <c r="J40" s="26"/>
      <c r="K40" s="22">
        <v>1.8</v>
      </c>
      <c r="L40" s="22"/>
      <c r="M40" s="22"/>
      <c r="N40" s="22"/>
      <c r="O40" s="27">
        <v>5.2</v>
      </c>
      <c r="P40" s="22"/>
      <c r="Q40" s="27"/>
      <c r="R40" s="27"/>
      <c r="S40" s="26">
        <v>302.3</v>
      </c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587.6</v>
      </c>
      <c r="AG40" s="27">
        <f aca="true" t="shared" si="8" ref="AG40:AG45">B40+C40-AF40</f>
        <v>154.39999999999998</v>
      </c>
    </row>
    <row r="41" spans="1:34" ht="15.75">
      <c r="A41" s="3" t="s">
        <v>5</v>
      </c>
      <c r="B41" s="22">
        <v>573.6</v>
      </c>
      <c r="C41" s="22">
        <v>31.9</v>
      </c>
      <c r="D41" s="22"/>
      <c r="E41" s="22"/>
      <c r="F41" s="22"/>
      <c r="G41" s="22"/>
      <c r="H41" s="22"/>
      <c r="I41" s="22">
        <v>239.4</v>
      </c>
      <c r="J41" s="26"/>
      <c r="K41" s="22"/>
      <c r="L41" s="22"/>
      <c r="M41" s="22"/>
      <c r="N41" s="22"/>
      <c r="O41" s="27"/>
      <c r="P41" s="22"/>
      <c r="Q41" s="22"/>
      <c r="R41" s="22"/>
      <c r="S41" s="26">
        <v>298.3</v>
      </c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537.7</v>
      </c>
      <c r="AG41" s="27">
        <f t="shared" si="8"/>
        <v>67.79999999999995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f>6.8-3</f>
        <v>3.8</v>
      </c>
      <c r="C43" s="22">
        <v>5.7</v>
      </c>
      <c r="D43" s="22"/>
      <c r="E43" s="22"/>
      <c r="F43" s="22"/>
      <c r="G43" s="22"/>
      <c r="H43" s="22"/>
      <c r="I43" s="22">
        <v>7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7</v>
      </c>
      <c r="AG43" s="27">
        <f t="shared" si="8"/>
        <v>2.5</v>
      </c>
    </row>
    <row r="44" spans="1:33" ht="15.75">
      <c r="A44" s="3" t="s">
        <v>2</v>
      </c>
      <c r="B44" s="22">
        <f>4.9+3</f>
        <v>7.9</v>
      </c>
      <c r="C44" s="22">
        <v>49.5</v>
      </c>
      <c r="D44" s="22"/>
      <c r="E44" s="22"/>
      <c r="F44" s="22"/>
      <c r="G44" s="22"/>
      <c r="H44" s="22"/>
      <c r="I44" s="22">
        <v>22.3</v>
      </c>
      <c r="J44" s="26"/>
      <c r="K44" s="22"/>
      <c r="L44" s="22"/>
      <c r="M44" s="22"/>
      <c r="N44" s="22"/>
      <c r="O44" s="27">
        <v>2.5</v>
      </c>
      <c r="P44" s="22"/>
      <c r="Q44" s="22"/>
      <c r="R44" s="22"/>
      <c r="S44" s="26">
        <v>1.6</v>
      </c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26.400000000000002</v>
      </c>
      <c r="AG44" s="27">
        <f t="shared" si="8"/>
        <v>30.999999999999996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30.900000000000027</v>
      </c>
      <c r="C46" s="22">
        <f t="shared" si="10"/>
        <v>38.7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9.600000000000005</v>
      </c>
      <c r="J46" s="22">
        <f t="shared" si="10"/>
        <v>0</v>
      </c>
      <c r="K46" s="22">
        <f t="shared" si="10"/>
        <v>1.8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2.7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2.4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16.500000000000004</v>
      </c>
      <c r="AG46" s="27">
        <f>AG40-AG41-AG42-AG43-AG44-AG45</f>
        <v>53.10000000000002</v>
      </c>
    </row>
    <row r="47" spans="1:33" ht="17.25" customHeight="1">
      <c r="A47" s="4" t="s">
        <v>15</v>
      </c>
      <c r="B47" s="36">
        <v>1005.9</v>
      </c>
      <c r="C47" s="22">
        <v>696.8</v>
      </c>
      <c r="D47" s="22">
        <v>15.1</v>
      </c>
      <c r="E47" s="28">
        <v>38.8</v>
      </c>
      <c r="F47" s="28"/>
      <c r="G47" s="28"/>
      <c r="H47" s="28">
        <v>236.4</v>
      </c>
      <c r="I47" s="28"/>
      <c r="J47" s="29"/>
      <c r="K47" s="28"/>
      <c r="L47" s="28">
        <v>53.6</v>
      </c>
      <c r="M47" s="28"/>
      <c r="N47" s="28"/>
      <c r="O47" s="31"/>
      <c r="P47" s="28">
        <v>35.7</v>
      </c>
      <c r="Q47" s="28">
        <v>10.2</v>
      </c>
      <c r="R47" s="28">
        <v>144.2</v>
      </c>
      <c r="S47" s="29">
        <v>116.1</v>
      </c>
      <c r="T47" s="29">
        <v>49.6</v>
      </c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699.7</v>
      </c>
      <c r="AG47" s="27">
        <f>B47+C47-AF47</f>
        <v>1002.9999999999998</v>
      </c>
    </row>
    <row r="48" spans="1:33" ht="15.75">
      <c r="A48" s="3" t="s">
        <v>5</v>
      </c>
      <c r="B48" s="22">
        <v>31.2</v>
      </c>
      <c r="C48" s="22">
        <v>29.6</v>
      </c>
      <c r="D48" s="22">
        <v>15.1</v>
      </c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15.1</v>
      </c>
      <c r="AG48" s="27">
        <f>B48+C48-AF48</f>
        <v>45.699999999999996</v>
      </c>
    </row>
    <row r="49" spans="1:33" ht="15.75">
      <c r="A49" s="3" t="s">
        <v>17</v>
      </c>
      <c r="B49" s="22">
        <f>765.2-27</f>
        <v>738.2</v>
      </c>
      <c r="C49" s="22">
        <v>414.7</v>
      </c>
      <c r="D49" s="22"/>
      <c r="E49" s="22"/>
      <c r="F49" s="22"/>
      <c r="G49" s="22"/>
      <c r="H49" s="22">
        <v>235.2</v>
      </c>
      <c r="I49" s="22"/>
      <c r="J49" s="26"/>
      <c r="K49" s="22"/>
      <c r="L49" s="22">
        <v>53.1</v>
      </c>
      <c r="M49" s="22"/>
      <c r="N49" s="22"/>
      <c r="O49" s="27"/>
      <c r="P49" s="22">
        <v>32</v>
      </c>
      <c r="Q49" s="22"/>
      <c r="R49" s="22">
        <v>115.3</v>
      </c>
      <c r="S49" s="26">
        <v>110.8</v>
      </c>
      <c r="T49" s="26">
        <v>43.6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590</v>
      </c>
      <c r="AG49" s="27">
        <f>B49+C49-AF49</f>
        <v>562.9000000000001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236.4999999999999</v>
      </c>
      <c r="C51" s="22">
        <f t="shared" si="11"/>
        <v>252.49999999999994</v>
      </c>
      <c r="D51" s="22">
        <f t="shared" si="11"/>
        <v>0</v>
      </c>
      <c r="E51" s="22">
        <f t="shared" si="11"/>
        <v>38.8</v>
      </c>
      <c r="F51" s="22">
        <f t="shared" si="11"/>
        <v>0</v>
      </c>
      <c r="G51" s="22">
        <f t="shared" si="11"/>
        <v>0</v>
      </c>
      <c r="H51" s="22">
        <f t="shared" si="11"/>
        <v>1.200000000000017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0.5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3.700000000000003</v>
      </c>
      <c r="Q51" s="22">
        <f t="shared" si="11"/>
        <v>10.2</v>
      </c>
      <c r="R51" s="22">
        <f t="shared" si="11"/>
        <v>28.89999999999999</v>
      </c>
      <c r="S51" s="22">
        <f t="shared" si="11"/>
        <v>5.299999999999997</v>
      </c>
      <c r="T51" s="22">
        <f t="shared" si="11"/>
        <v>6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94.60000000000001</v>
      </c>
      <c r="AG51" s="27">
        <f>AG47-AG49-AG48</f>
        <v>394.3999999999997</v>
      </c>
    </row>
    <row r="52" spans="1:33" ht="15" customHeight="1">
      <c r="A52" s="4" t="s">
        <v>0</v>
      </c>
      <c r="B52" s="22">
        <f>8801.5-1.1</f>
        <v>8800.4</v>
      </c>
      <c r="C52" s="22">
        <v>6187.2</v>
      </c>
      <c r="D52" s="22"/>
      <c r="E52" s="22">
        <v>523.7</v>
      </c>
      <c r="F52" s="22">
        <v>655.4</v>
      </c>
      <c r="G52" s="22"/>
      <c r="H52" s="22">
        <v>600.6</v>
      </c>
      <c r="I52" s="22"/>
      <c r="J52" s="26">
        <v>24.1</v>
      </c>
      <c r="K52" s="22"/>
      <c r="L52" s="22">
        <v>111.3</v>
      </c>
      <c r="M52" s="22">
        <v>414.6</v>
      </c>
      <c r="N52" s="22">
        <f>200.4+295.4</f>
        <v>495.79999999999995</v>
      </c>
      <c r="O52" s="27">
        <v>768.4</v>
      </c>
      <c r="P52" s="22">
        <f>880.1+257.1+801.1</f>
        <v>1938.3000000000002</v>
      </c>
      <c r="Q52" s="22"/>
      <c r="R52" s="22">
        <v>28.2</v>
      </c>
      <c r="S52" s="26"/>
      <c r="T52" s="26">
        <v>245.7</v>
      </c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5806.1</v>
      </c>
      <c r="AG52" s="27">
        <f aca="true" t="shared" si="12" ref="AG52:AG59">B52+C52-AF52</f>
        <v>9181.499999999998</v>
      </c>
    </row>
    <row r="53" spans="1:33" ht="15" customHeight="1">
      <c r="A53" s="3" t="s">
        <v>2</v>
      </c>
      <c r="B53" s="22">
        <f>446.7+361.4</f>
        <v>808.0999999999999</v>
      </c>
      <c r="C53" s="22">
        <v>287.2</v>
      </c>
      <c r="D53" s="22"/>
      <c r="E53" s="22">
        <v>489</v>
      </c>
      <c r="F53" s="22"/>
      <c r="G53" s="22"/>
      <c r="H53" s="22">
        <v>12.5</v>
      </c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501.5</v>
      </c>
      <c r="AG53" s="27">
        <f t="shared" si="12"/>
        <v>593.8</v>
      </c>
    </row>
    <row r="54" spans="1:34" ht="15" customHeight="1">
      <c r="A54" s="4" t="s">
        <v>9</v>
      </c>
      <c r="B54" s="44">
        <v>4257.3</v>
      </c>
      <c r="C54" s="22">
        <v>1684.5</v>
      </c>
      <c r="D54" s="22">
        <v>429.2</v>
      </c>
      <c r="E54" s="22">
        <v>64.9</v>
      </c>
      <c r="F54" s="22">
        <v>5.5</v>
      </c>
      <c r="G54" s="22">
        <v>1381.4</v>
      </c>
      <c r="H54" s="22">
        <v>16.8</v>
      </c>
      <c r="I54" s="22">
        <v>54.9</v>
      </c>
      <c r="J54" s="26">
        <v>51.2</v>
      </c>
      <c r="K54" s="22">
        <v>207.6</v>
      </c>
      <c r="L54" s="22">
        <v>15.4</v>
      </c>
      <c r="M54" s="22">
        <v>126.4</v>
      </c>
      <c r="N54" s="22">
        <v>15.3</v>
      </c>
      <c r="O54" s="27">
        <v>9.8</v>
      </c>
      <c r="P54" s="22">
        <v>0.5</v>
      </c>
      <c r="Q54" s="27">
        <v>34.2</v>
      </c>
      <c r="R54" s="22">
        <v>1655.6</v>
      </c>
      <c r="S54" s="26">
        <v>70.2</v>
      </c>
      <c r="T54" s="26">
        <v>2.8</v>
      </c>
      <c r="U54" s="26">
        <v>42.6</v>
      </c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4184.300000000001</v>
      </c>
      <c r="AG54" s="22">
        <f t="shared" si="12"/>
        <v>1757.499999999999</v>
      </c>
      <c r="AH54" s="6"/>
    </row>
    <row r="55" spans="1:34" ht="15.75">
      <c r="A55" s="3" t="s">
        <v>5</v>
      </c>
      <c r="B55" s="22">
        <f>2953.4+46.1</f>
        <v>2999.5</v>
      </c>
      <c r="C55" s="22">
        <v>235.8</v>
      </c>
      <c r="D55" s="22"/>
      <c r="E55" s="22"/>
      <c r="F55" s="22"/>
      <c r="G55" s="22">
        <v>1381.4</v>
      </c>
      <c r="H55" s="22"/>
      <c r="I55" s="22">
        <v>3.9</v>
      </c>
      <c r="J55" s="26"/>
      <c r="K55" s="22"/>
      <c r="L55" s="22"/>
      <c r="M55" s="22"/>
      <c r="N55" s="22"/>
      <c r="O55" s="27"/>
      <c r="P55" s="22"/>
      <c r="Q55" s="27"/>
      <c r="R55" s="22">
        <v>1624.5</v>
      </c>
      <c r="S55" s="26">
        <v>11.9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3021.7000000000003</v>
      </c>
      <c r="AG55" s="22">
        <f t="shared" si="12"/>
        <v>213.5999999999999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134.1-80.4</f>
        <v>53.69999999999999</v>
      </c>
      <c r="C57" s="22">
        <v>630.3</v>
      </c>
      <c r="D57" s="22"/>
      <c r="E57" s="22">
        <v>24.3</v>
      </c>
      <c r="F57" s="22">
        <v>5.1</v>
      </c>
      <c r="G57" s="22"/>
      <c r="H57" s="22"/>
      <c r="I57" s="22">
        <v>0.7</v>
      </c>
      <c r="J57" s="26"/>
      <c r="K57" s="22">
        <v>0.9</v>
      </c>
      <c r="L57" s="22"/>
      <c r="M57" s="22">
        <v>17.4</v>
      </c>
      <c r="N57" s="22">
        <v>1.9</v>
      </c>
      <c r="O57" s="27">
        <v>1.5</v>
      </c>
      <c r="P57" s="22">
        <v>0.3</v>
      </c>
      <c r="Q57" s="27">
        <v>21.8</v>
      </c>
      <c r="R57" s="22">
        <v>2.3</v>
      </c>
      <c r="S57" s="26">
        <v>2</v>
      </c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78.19999999999999</v>
      </c>
      <c r="AG57" s="22">
        <f t="shared" si="12"/>
        <v>605.8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>
        <v>5.1</v>
      </c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1199.0000000000002</v>
      </c>
      <c r="C60" s="22">
        <f t="shared" si="13"/>
        <v>818.4000000000001</v>
      </c>
      <c r="D60" s="22">
        <f t="shared" si="13"/>
        <v>429.2</v>
      </c>
      <c r="E60" s="22">
        <f t="shared" si="13"/>
        <v>40.60000000000001</v>
      </c>
      <c r="F60" s="22">
        <f t="shared" si="13"/>
        <v>0.40000000000000036</v>
      </c>
      <c r="G60" s="22">
        <f t="shared" si="13"/>
        <v>0</v>
      </c>
      <c r="H60" s="22">
        <f t="shared" si="13"/>
        <v>16.8</v>
      </c>
      <c r="I60" s="22">
        <f t="shared" si="13"/>
        <v>50.3</v>
      </c>
      <c r="J60" s="22">
        <f t="shared" si="13"/>
        <v>51.2</v>
      </c>
      <c r="K60" s="22">
        <f t="shared" si="13"/>
        <v>206.7</v>
      </c>
      <c r="L60" s="22">
        <f t="shared" si="13"/>
        <v>15.4</v>
      </c>
      <c r="M60" s="22">
        <f t="shared" si="13"/>
        <v>109</v>
      </c>
      <c r="N60" s="22">
        <f t="shared" si="13"/>
        <v>13.4</v>
      </c>
      <c r="O60" s="22">
        <f t="shared" si="13"/>
        <v>8.3</v>
      </c>
      <c r="P60" s="22">
        <f t="shared" si="13"/>
        <v>0.2</v>
      </c>
      <c r="Q60" s="22">
        <f t="shared" si="13"/>
        <v>7.3000000000000025</v>
      </c>
      <c r="R60" s="22">
        <f t="shared" si="13"/>
        <v>28.79999999999991</v>
      </c>
      <c r="S60" s="22">
        <f t="shared" si="13"/>
        <v>56.300000000000004</v>
      </c>
      <c r="T60" s="22">
        <f t="shared" si="13"/>
        <v>2.8</v>
      </c>
      <c r="U60" s="22">
        <f t="shared" si="13"/>
        <v>42.6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1079.3000000000009</v>
      </c>
      <c r="AG60" s="22">
        <f>AG54-AG55-AG57-AG59-AG56-AG58</f>
        <v>938.0999999999992</v>
      </c>
    </row>
    <row r="61" spans="1:33" ht="15" customHeight="1">
      <c r="A61" s="4" t="s">
        <v>10</v>
      </c>
      <c r="B61" s="22">
        <f>70+2.9</f>
        <v>72.9</v>
      </c>
      <c r="C61" s="22">
        <v>69.3</v>
      </c>
      <c r="D61" s="22"/>
      <c r="E61" s="22"/>
      <c r="F61" s="22">
        <v>14.3</v>
      </c>
      <c r="G61" s="22"/>
      <c r="H61" s="22"/>
      <c r="I61" s="22"/>
      <c r="J61" s="26"/>
      <c r="K61" s="22">
        <v>28.5</v>
      </c>
      <c r="L61" s="22">
        <v>0.1</v>
      </c>
      <c r="M61" s="22"/>
      <c r="N61" s="22">
        <v>1.2</v>
      </c>
      <c r="O61" s="27"/>
      <c r="P61" s="22"/>
      <c r="Q61" s="27"/>
      <c r="R61" s="22"/>
      <c r="S61" s="26">
        <v>34</v>
      </c>
      <c r="T61" s="26"/>
      <c r="U61" s="26"/>
      <c r="V61" s="26">
        <v>0.6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78.69999999999999</v>
      </c>
      <c r="AG61" s="22">
        <f aca="true" t="shared" si="15" ref="AG61:AG67">B61+C61-AF61</f>
        <v>63.5</v>
      </c>
    </row>
    <row r="62" spans="1:33" ht="15" customHeight="1">
      <c r="A62" s="4" t="s">
        <v>11</v>
      </c>
      <c r="B62" s="22">
        <v>1662.2</v>
      </c>
      <c r="C62" s="22">
        <v>782.5</v>
      </c>
      <c r="D62" s="22"/>
      <c r="E62" s="22"/>
      <c r="F62" s="22">
        <v>138.5</v>
      </c>
      <c r="G62" s="22"/>
      <c r="H62" s="22">
        <v>313.4</v>
      </c>
      <c r="I62" s="22">
        <v>75.2</v>
      </c>
      <c r="J62" s="26"/>
      <c r="K62" s="22">
        <v>80.2</v>
      </c>
      <c r="L62" s="22"/>
      <c r="M62" s="22">
        <v>4.9</v>
      </c>
      <c r="N62" s="22">
        <v>57.7</v>
      </c>
      <c r="O62" s="27"/>
      <c r="P62" s="22">
        <v>92.3</v>
      </c>
      <c r="Q62" s="27"/>
      <c r="R62" s="22"/>
      <c r="S62" s="26">
        <v>667.1</v>
      </c>
      <c r="T62" s="26">
        <v>12.7</v>
      </c>
      <c r="U62" s="26">
        <v>3.5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1445.5000000000002</v>
      </c>
      <c r="AG62" s="22">
        <f t="shared" si="15"/>
        <v>999.1999999999996</v>
      </c>
    </row>
    <row r="63" spans="1:34" ht="15.75">
      <c r="A63" s="3" t="s">
        <v>5</v>
      </c>
      <c r="B63" s="22">
        <v>1133.7</v>
      </c>
      <c r="C63" s="22">
        <v>94.3</v>
      </c>
      <c r="D63" s="22"/>
      <c r="E63" s="22"/>
      <c r="F63" s="22"/>
      <c r="G63" s="22"/>
      <c r="H63" s="22">
        <v>301</v>
      </c>
      <c r="I63" s="22"/>
      <c r="J63" s="26"/>
      <c r="K63" s="22"/>
      <c r="L63" s="22"/>
      <c r="M63" s="22"/>
      <c r="N63" s="22"/>
      <c r="O63" s="27"/>
      <c r="P63" s="22"/>
      <c r="Q63" s="27"/>
      <c r="R63" s="22"/>
      <c r="S63" s="26">
        <v>554.2</v>
      </c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855.2</v>
      </c>
      <c r="AG63" s="22">
        <f t="shared" si="15"/>
        <v>372.79999999999995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34.1</v>
      </c>
      <c r="C65" s="22">
        <v>25.4</v>
      </c>
      <c r="D65" s="22"/>
      <c r="E65" s="22"/>
      <c r="F65" s="22">
        <v>5.3</v>
      </c>
      <c r="G65" s="22"/>
      <c r="H65" s="22"/>
      <c r="I65" s="22"/>
      <c r="J65" s="26"/>
      <c r="K65" s="22">
        <v>9.4</v>
      </c>
      <c r="L65" s="22"/>
      <c r="M65" s="22"/>
      <c r="N65" s="22">
        <v>10</v>
      </c>
      <c r="O65" s="27"/>
      <c r="P65" s="22">
        <v>8.9</v>
      </c>
      <c r="Q65" s="27"/>
      <c r="R65" s="22"/>
      <c r="S65" s="26">
        <v>5.1</v>
      </c>
      <c r="T65" s="26">
        <v>7.2</v>
      </c>
      <c r="U65" s="26">
        <v>1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46.900000000000006</v>
      </c>
      <c r="AG65" s="22">
        <f t="shared" si="15"/>
        <v>12.599999999999994</v>
      </c>
      <c r="AH65" s="6"/>
    </row>
    <row r="66" spans="1:33" ht="15.75">
      <c r="A66" s="3" t="s">
        <v>2</v>
      </c>
      <c r="B66" s="22">
        <v>79</v>
      </c>
      <c r="C66" s="22">
        <v>149.8</v>
      </c>
      <c r="D66" s="22"/>
      <c r="E66" s="22"/>
      <c r="F66" s="22">
        <v>15.8</v>
      </c>
      <c r="G66" s="22"/>
      <c r="H66" s="22"/>
      <c r="I66" s="22"/>
      <c r="J66" s="26"/>
      <c r="K66" s="22">
        <v>5.5</v>
      </c>
      <c r="L66" s="22"/>
      <c r="M66" s="22"/>
      <c r="N66" s="22">
        <v>7</v>
      </c>
      <c r="O66" s="27"/>
      <c r="P66" s="22">
        <v>1.9</v>
      </c>
      <c r="Q66" s="22"/>
      <c r="R66" s="22"/>
      <c r="S66" s="26">
        <v>1.5</v>
      </c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31.7</v>
      </c>
      <c r="AG66" s="22">
        <f t="shared" si="15"/>
        <v>197.10000000000002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415.4</v>
      </c>
      <c r="C68" s="22">
        <f t="shared" si="16"/>
        <v>513.0000000000001</v>
      </c>
      <c r="D68" s="22">
        <f t="shared" si="16"/>
        <v>0</v>
      </c>
      <c r="E68" s="22">
        <f t="shared" si="16"/>
        <v>0</v>
      </c>
      <c r="F68" s="22">
        <f t="shared" si="16"/>
        <v>117.4</v>
      </c>
      <c r="G68" s="22">
        <f t="shared" si="16"/>
        <v>0</v>
      </c>
      <c r="H68" s="22">
        <f t="shared" si="16"/>
        <v>12.399999999999977</v>
      </c>
      <c r="I68" s="22">
        <f t="shared" si="16"/>
        <v>75.2</v>
      </c>
      <c r="J68" s="22">
        <f t="shared" si="16"/>
        <v>0</v>
      </c>
      <c r="K68" s="22">
        <f t="shared" si="16"/>
        <v>65.3</v>
      </c>
      <c r="L68" s="22">
        <f t="shared" si="16"/>
        <v>0</v>
      </c>
      <c r="M68" s="22">
        <f t="shared" si="16"/>
        <v>4.9</v>
      </c>
      <c r="N68" s="22">
        <f t="shared" si="16"/>
        <v>40.7</v>
      </c>
      <c r="O68" s="22">
        <f t="shared" si="16"/>
        <v>0</v>
      </c>
      <c r="P68" s="22">
        <f t="shared" si="16"/>
        <v>81.49999999999999</v>
      </c>
      <c r="Q68" s="22">
        <f t="shared" si="16"/>
        <v>0</v>
      </c>
      <c r="R68" s="22">
        <f t="shared" si="16"/>
        <v>0</v>
      </c>
      <c r="S68" s="22">
        <f t="shared" si="16"/>
        <v>106.29999999999998</v>
      </c>
      <c r="T68" s="22">
        <f t="shared" si="16"/>
        <v>5.499999999999999</v>
      </c>
      <c r="U68" s="22">
        <f t="shared" si="16"/>
        <v>2.5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511.69999999999993</v>
      </c>
      <c r="AG68" s="22">
        <f>AG62-AG63-AG66-AG67-AG65-AG64</f>
        <v>416.6999999999996</v>
      </c>
    </row>
    <row r="69" spans="1:33" ht="31.5">
      <c r="A69" s="4" t="s">
        <v>32</v>
      </c>
      <c r="B69" s="22">
        <f>926.5+4172.3</f>
        <v>5098.8</v>
      </c>
      <c r="C69" s="22">
        <v>138</v>
      </c>
      <c r="D69" s="22"/>
      <c r="E69" s="22"/>
      <c r="F69" s="22"/>
      <c r="G69" s="22"/>
      <c r="H69" s="22"/>
      <c r="I69" s="22"/>
      <c r="J69" s="26">
        <v>20.4</v>
      </c>
      <c r="K69" s="22"/>
      <c r="L69" s="22"/>
      <c r="M69" s="22"/>
      <c r="N69" s="22">
        <v>3015.8</v>
      </c>
      <c r="O69" s="22">
        <v>9</v>
      </c>
      <c r="P69" s="22">
        <v>1156.5</v>
      </c>
      <c r="Q69" s="22">
        <v>27</v>
      </c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4228.700000000001</v>
      </c>
      <c r="AG69" s="30">
        <f aca="true" t="shared" si="17" ref="AG69:AG92">B69+C69-AF69</f>
        <v>1008.0999999999995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2.1</v>
      </c>
      <c r="D71" s="28"/>
      <c r="E71" s="28"/>
      <c r="F71" s="28"/>
      <c r="G71" s="28"/>
      <c r="H71" s="28">
        <v>2.1</v>
      </c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2.1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1000.8-44.6</f>
        <v>956.1999999999999</v>
      </c>
      <c r="C72" s="22">
        <v>1360.5</v>
      </c>
      <c r="D72" s="22"/>
      <c r="E72" s="22">
        <v>89.1</v>
      </c>
      <c r="F72" s="22"/>
      <c r="G72" s="22"/>
      <c r="H72" s="22">
        <f>4.7+38.9</f>
        <v>43.6</v>
      </c>
      <c r="I72" s="22"/>
      <c r="J72" s="26">
        <v>3.9</v>
      </c>
      <c r="K72" s="22">
        <v>6.1</v>
      </c>
      <c r="L72" s="22">
        <v>11.6</v>
      </c>
      <c r="M72" s="22">
        <v>6</v>
      </c>
      <c r="N72" s="22">
        <v>14.7</v>
      </c>
      <c r="O72" s="22">
        <v>2.9</v>
      </c>
      <c r="P72" s="22"/>
      <c r="Q72" s="27">
        <v>3.3</v>
      </c>
      <c r="R72" s="22">
        <v>20.6</v>
      </c>
      <c r="S72" s="26">
        <v>122.1</v>
      </c>
      <c r="T72" s="26">
        <v>12.8</v>
      </c>
      <c r="U72" s="26">
        <v>5.8</v>
      </c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342.5</v>
      </c>
      <c r="AG72" s="30">
        <f t="shared" si="17"/>
        <v>1974.1999999999998</v>
      </c>
    </row>
    <row r="73" spans="1:33" ht="15" customHeight="1">
      <c r="A73" s="3" t="s">
        <v>5</v>
      </c>
      <c r="B73" s="22">
        <v>17.7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>
        <v>17.7</v>
      </c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17.7</v>
      </c>
      <c r="AG73" s="30">
        <f t="shared" si="17"/>
        <v>0</v>
      </c>
    </row>
    <row r="74" spans="1:33" ht="15" customHeight="1">
      <c r="A74" s="3" t="s">
        <v>2</v>
      </c>
      <c r="B74" s="22">
        <v>50.9</v>
      </c>
      <c r="C74" s="22">
        <v>335.2</v>
      </c>
      <c r="D74" s="22"/>
      <c r="E74" s="22">
        <v>42.5</v>
      </c>
      <c r="F74" s="22"/>
      <c r="G74" s="22"/>
      <c r="H74" s="22">
        <v>2</v>
      </c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44.5</v>
      </c>
      <c r="AG74" s="30">
        <f t="shared" si="17"/>
        <v>341.59999999999997</v>
      </c>
    </row>
    <row r="75" spans="1:33" ht="15" customHeight="1">
      <c r="A75" s="3" t="s">
        <v>17</v>
      </c>
      <c r="B75" s="22">
        <v>88.9</v>
      </c>
      <c r="C75" s="22">
        <v>211.7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>
        <v>2.9</v>
      </c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2.9</v>
      </c>
      <c r="AG75" s="30">
        <f t="shared" si="17"/>
        <v>297.70000000000005</v>
      </c>
    </row>
    <row r="76" spans="1:33" s="11" customFormat="1" ht="31.5">
      <c r="A76" s="12" t="s">
        <v>21</v>
      </c>
      <c r="B76" s="22">
        <v>473.4</v>
      </c>
      <c r="C76" s="22">
        <v>120.4</v>
      </c>
      <c r="D76" s="22"/>
      <c r="E76" s="28"/>
      <c r="F76" s="28"/>
      <c r="G76" s="28">
        <v>28.3</v>
      </c>
      <c r="H76" s="28">
        <v>17.8</v>
      </c>
      <c r="I76" s="28"/>
      <c r="J76" s="29"/>
      <c r="K76" s="28"/>
      <c r="L76" s="28"/>
      <c r="M76" s="28"/>
      <c r="N76" s="28"/>
      <c r="O76" s="28"/>
      <c r="P76" s="28">
        <v>9.6</v>
      </c>
      <c r="Q76" s="31"/>
      <c r="R76" s="28"/>
      <c r="S76" s="29">
        <v>33.4</v>
      </c>
      <c r="T76" s="29">
        <v>0.9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90</v>
      </c>
      <c r="AG76" s="30">
        <f t="shared" si="17"/>
        <v>503.79999999999995</v>
      </c>
    </row>
    <row r="77" spans="1:33" s="11" customFormat="1" ht="15.75">
      <c r="A77" s="3" t="s">
        <v>5</v>
      </c>
      <c r="B77" s="22">
        <v>79.3</v>
      </c>
      <c r="C77" s="22">
        <v>0.1</v>
      </c>
      <c r="D77" s="22"/>
      <c r="E77" s="28"/>
      <c r="F77" s="28"/>
      <c r="G77" s="28">
        <v>28.3</v>
      </c>
      <c r="H77" s="28">
        <v>17.4</v>
      </c>
      <c r="I77" s="28"/>
      <c r="J77" s="29"/>
      <c r="K77" s="28"/>
      <c r="L77" s="28"/>
      <c r="M77" s="28"/>
      <c r="N77" s="28"/>
      <c r="O77" s="28"/>
      <c r="P77" s="28"/>
      <c r="Q77" s="31"/>
      <c r="R77" s="28"/>
      <c r="S77" s="29">
        <v>33.4</v>
      </c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79.1</v>
      </c>
      <c r="AG77" s="30">
        <f t="shared" si="17"/>
        <v>0.29999999999999716</v>
      </c>
    </row>
    <row r="78" spans="1:33" s="11" customFormat="1" ht="15.75">
      <c r="A78" s="3" t="s">
        <v>3</v>
      </c>
      <c r="B78" s="22">
        <v>80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80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2.2</v>
      </c>
      <c r="D80" s="22"/>
      <c r="E80" s="28"/>
      <c r="F80" s="28"/>
      <c r="G80" s="28"/>
      <c r="H80" s="28">
        <v>0.3</v>
      </c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5595+756.7-1286.8</f>
        <v>5064.9</v>
      </c>
      <c r="C89" s="22">
        <v>4546.4</v>
      </c>
      <c r="D89" s="22"/>
      <c r="E89" s="22">
        <v>100</v>
      </c>
      <c r="F89" s="22">
        <v>568</v>
      </c>
      <c r="G89" s="22"/>
      <c r="H89" s="22">
        <v>208.9</v>
      </c>
      <c r="I89" s="22"/>
      <c r="J89" s="22"/>
      <c r="K89" s="22"/>
      <c r="L89" s="22">
        <v>692.3</v>
      </c>
      <c r="M89" s="22">
        <v>545.3</v>
      </c>
      <c r="N89" s="22">
        <v>256.2</v>
      </c>
      <c r="O89" s="22">
        <v>7.3</v>
      </c>
      <c r="P89" s="22"/>
      <c r="Q89" s="22"/>
      <c r="R89" s="22">
        <v>541.9</v>
      </c>
      <c r="S89" s="26">
        <v>187.1</v>
      </c>
      <c r="T89" s="26">
        <v>120.3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3227.3</v>
      </c>
      <c r="AG89" s="22">
        <f t="shared" si="17"/>
        <v>6383.999999999999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>
        <v>805.6</v>
      </c>
      <c r="H90" s="22"/>
      <c r="I90" s="22"/>
      <c r="J90" s="22"/>
      <c r="K90" s="22"/>
      <c r="L90" s="22"/>
      <c r="M90" s="22"/>
      <c r="N90" s="22"/>
      <c r="O90" s="22">
        <v>805.6</v>
      </c>
      <c r="P90" s="22"/>
      <c r="Q90" s="22"/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0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46708.3+2569.7</f>
        <v>49278</v>
      </c>
      <c r="C92" s="22">
        <v>16248.2</v>
      </c>
      <c r="D92" s="22">
        <v>10381.2</v>
      </c>
      <c r="E92" s="22">
        <v>4798</v>
      </c>
      <c r="F92" s="22">
        <v>2674.1</v>
      </c>
      <c r="G92" s="22">
        <v>4582.7</v>
      </c>
      <c r="H92" s="22"/>
      <c r="I92" s="22"/>
      <c r="J92" s="22">
        <v>1925.2</v>
      </c>
      <c r="K92" s="22">
        <v>5487.5</v>
      </c>
      <c r="L92" s="22">
        <v>2575.7</v>
      </c>
      <c r="M92" s="22">
        <v>1386.8</v>
      </c>
      <c r="N92" s="22"/>
      <c r="O92" s="22">
        <v>2800</v>
      </c>
      <c r="P92" s="22">
        <v>3291.9</v>
      </c>
      <c r="Q92" s="22">
        <v>2943.8</v>
      </c>
      <c r="R92" s="22"/>
      <c r="S92" s="26"/>
      <c r="T92" s="26"/>
      <c r="U92" s="22">
        <v>6733.2</v>
      </c>
      <c r="V92" s="22">
        <f>8553.9-805.6</f>
        <v>7748.299999999999</v>
      </c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57328.40000000001</v>
      </c>
      <c r="AG92" s="22">
        <f t="shared" si="17"/>
        <v>8197.799999999988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151397.49999999997</v>
      </c>
      <c r="C94" s="42">
        <f t="shared" si="18"/>
        <v>55187.8</v>
      </c>
      <c r="D94" s="42">
        <f t="shared" si="18"/>
        <v>11191.2</v>
      </c>
      <c r="E94" s="42">
        <f t="shared" si="18"/>
        <v>5730.9</v>
      </c>
      <c r="F94" s="42">
        <f t="shared" si="18"/>
        <v>4537.8</v>
      </c>
      <c r="G94" s="42">
        <f t="shared" si="18"/>
        <v>6807.2</v>
      </c>
      <c r="H94" s="42">
        <f t="shared" si="18"/>
        <v>18306</v>
      </c>
      <c r="I94" s="42">
        <f t="shared" si="18"/>
        <v>3776.1</v>
      </c>
      <c r="J94" s="42">
        <f t="shared" si="18"/>
        <v>2308.5</v>
      </c>
      <c r="K94" s="42">
        <f t="shared" si="18"/>
        <v>6192.2</v>
      </c>
      <c r="L94" s="42">
        <f t="shared" si="18"/>
        <v>6161.5</v>
      </c>
      <c r="M94" s="42">
        <f t="shared" si="18"/>
        <v>2560.3999999999996</v>
      </c>
      <c r="N94" s="42">
        <f t="shared" si="18"/>
        <v>3909.3999999999996</v>
      </c>
      <c r="O94" s="42">
        <f t="shared" si="18"/>
        <v>7686.5</v>
      </c>
      <c r="P94" s="42">
        <f t="shared" si="18"/>
        <v>6791</v>
      </c>
      <c r="Q94" s="42">
        <f t="shared" si="18"/>
        <v>3884</v>
      </c>
      <c r="R94" s="42">
        <f t="shared" si="18"/>
        <v>26330.699999999997</v>
      </c>
      <c r="S94" s="42">
        <f t="shared" si="18"/>
        <v>14502.7</v>
      </c>
      <c r="T94" s="42">
        <f t="shared" si="18"/>
        <v>3119.6000000000004</v>
      </c>
      <c r="U94" s="42">
        <f t="shared" si="18"/>
        <v>7363.299999999999</v>
      </c>
      <c r="V94" s="42">
        <f t="shared" si="18"/>
        <v>8977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150136.00000000003</v>
      </c>
      <c r="AG94" s="58">
        <f>AG10+AG15+AG24+AG33+AG47+AG52+AG54+AG61+AG62+AG69+AG71+AG72+AG76+AG81+AG82+AG83+AG88+AG89+AG90+AG91+AG70+AG40+AG92</f>
        <v>56449.299999999974</v>
      </c>
    </row>
    <row r="95" spans="1:33" ht="15.75">
      <c r="A95" s="3" t="s">
        <v>5</v>
      </c>
      <c r="B95" s="22">
        <f aca="true" t="shared" si="19" ref="B95:AD95">B11+B17+B26+B34+B55+B63+B73+B41+B77+B48</f>
        <v>58767.799999999996</v>
      </c>
      <c r="C95" s="22">
        <f t="shared" si="19"/>
        <v>4955.6</v>
      </c>
      <c r="D95" s="22">
        <f t="shared" si="19"/>
        <v>23.5</v>
      </c>
      <c r="E95" s="22">
        <f t="shared" si="19"/>
        <v>36.6</v>
      </c>
      <c r="F95" s="22">
        <f t="shared" si="19"/>
        <v>8.5</v>
      </c>
      <c r="G95" s="22">
        <f t="shared" si="19"/>
        <v>1418.9</v>
      </c>
      <c r="H95" s="22">
        <f t="shared" si="19"/>
        <v>17122.700000000004</v>
      </c>
      <c r="I95" s="22">
        <f t="shared" si="19"/>
        <v>1178.8</v>
      </c>
      <c r="J95" s="22">
        <f t="shared" si="19"/>
        <v>9.7</v>
      </c>
      <c r="K95" s="22">
        <f t="shared" si="19"/>
        <v>19.9</v>
      </c>
      <c r="L95" s="22">
        <f t="shared" si="19"/>
        <v>0</v>
      </c>
      <c r="M95" s="22">
        <f t="shared" si="19"/>
        <v>9.5</v>
      </c>
      <c r="N95" s="22">
        <f t="shared" si="19"/>
        <v>1.6</v>
      </c>
      <c r="O95" s="22">
        <f t="shared" si="19"/>
        <v>16.7</v>
      </c>
      <c r="P95" s="22">
        <f t="shared" si="19"/>
        <v>0</v>
      </c>
      <c r="Q95" s="22">
        <f t="shared" si="19"/>
        <v>0</v>
      </c>
      <c r="R95" s="22">
        <f t="shared" si="19"/>
        <v>25083.9</v>
      </c>
      <c r="S95" s="22">
        <f t="shared" si="19"/>
        <v>11958.399999999998</v>
      </c>
      <c r="T95" s="22">
        <f t="shared" si="19"/>
        <v>1612.1</v>
      </c>
      <c r="U95" s="22">
        <f t="shared" si="19"/>
        <v>321.1</v>
      </c>
      <c r="V95" s="22">
        <f t="shared" si="19"/>
        <v>0.8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58822.7</v>
      </c>
      <c r="AG95" s="27">
        <f>B95+C95-AF95</f>
        <v>4900.699999999997</v>
      </c>
    </row>
    <row r="96" spans="1:33" ht="15.75">
      <c r="A96" s="3" t="s">
        <v>2</v>
      </c>
      <c r="B96" s="22">
        <f aca="true" t="shared" si="20" ref="B96:AD96">B12+B20+B29+B36+B57+B66+B44+B80+B74+B53</f>
        <v>6745.499999999998</v>
      </c>
      <c r="C96" s="22">
        <f t="shared" si="20"/>
        <v>10493.800000000001</v>
      </c>
      <c r="D96" s="22">
        <f t="shared" si="20"/>
        <v>14.7</v>
      </c>
      <c r="E96" s="22">
        <f t="shared" si="20"/>
        <v>557.2</v>
      </c>
      <c r="F96" s="22">
        <f t="shared" si="20"/>
        <v>262.2</v>
      </c>
      <c r="G96" s="22">
        <f t="shared" si="20"/>
        <v>0</v>
      </c>
      <c r="H96" s="22">
        <f t="shared" si="20"/>
        <v>36.8</v>
      </c>
      <c r="I96" s="22">
        <f t="shared" si="20"/>
        <v>1289.4</v>
      </c>
      <c r="J96" s="22">
        <f t="shared" si="20"/>
        <v>12.6</v>
      </c>
      <c r="K96" s="22">
        <f t="shared" si="20"/>
        <v>195.8</v>
      </c>
      <c r="L96" s="22">
        <f t="shared" si="20"/>
        <v>2049.1</v>
      </c>
      <c r="M96" s="22">
        <f t="shared" si="20"/>
        <v>68.6</v>
      </c>
      <c r="N96" s="22">
        <f t="shared" si="20"/>
        <v>36.599999999999994</v>
      </c>
      <c r="O96" s="22">
        <f t="shared" si="20"/>
        <v>1243.5</v>
      </c>
      <c r="P96" s="22">
        <f t="shared" si="20"/>
        <v>175.60000000000002</v>
      </c>
      <c r="Q96" s="22">
        <f t="shared" si="20"/>
        <v>322.3</v>
      </c>
      <c r="R96" s="22">
        <f t="shared" si="20"/>
        <v>13.7</v>
      </c>
      <c r="S96" s="22">
        <f t="shared" si="20"/>
        <v>135.70000000000002</v>
      </c>
      <c r="T96" s="22">
        <f t="shared" si="20"/>
        <v>53.9</v>
      </c>
      <c r="U96" s="22">
        <f t="shared" si="20"/>
        <v>72.6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6540.300000000001</v>
      </c>
      <c r="AG96" s="27">
        <f>B96+C96-AF96</f>
        <v>10698.999999999998</v>
      </c>
    </row>
    <row r="97" spans="1:33" ht="15.75">
      <c r="A97" s="3" t="s">
        <v>3</v>
      </c>
      <c r="B97" s="22">
        <f aca="true" t="shared" si="21" ref="B97:AA97">B18+B27+B42+B64+B78</f>
        <v>2774.4</v>
      </c>
      <c r="C97" s="22">
        <f t="shared" si="21"/>
        <v>1390.2</v>
      </c>
      <c r="D97" s="22">
        <f t="shared" si="21"/>
        <v>71.8</v>
      </c>
      <c r="E97" s="22">
        <f t="shared" si="21"/>
        <v>0</v>
      </c>
      <c r="F97" s="22">
        <f t="shared" si="21"/>
        <v>4.3</v>
      </c>
      <c r="G97" s="22">
        <f t="shared" si="21"/>
        <v>0</v>
      </c>
      <c r="H97" s="22">
        <f t="shared" si="21"/>
        <v>0</v>
      </c>
      <c r="I97" s="22">
        <f t="shared" si="21"/>
        <v>281.4</v>
      </c>
      <c r="J97" s="22">
        <f t="shared" si="21"/>
        <v>8.6</v>
      </c>
      <c r="K97" s="22">
        <f t="shared" si="21"/>
        <v>37.8</v>
      </c>
      <c r="L97" s="22">
        <f t="shared" si="21"/>
        <v>1.9</v>
      </c>
      <c r="M97" s="22">
        <f t="shared" si="21"/>
        <v>0</v>
      </c>
      <c r="N97" s="22">
        <f t="shared" si="21"/>
        <v>0</v>
      </c>
      <c r="O97" s="22">
        <f t="shared" si="21"/>
        <v>543.6999999999999</v>
      </c>
      <c r="P97" s="22">
        <f t="shared" si="21"/>
        <v>1.2</v>
      </c>
      <c r="Q97" s="22">
        <f t="shared" si="21"/>
        <v>0</v>
      </c>
      <c r="R97" s="22">
        <f t="shared" si="21"/>
        <v>0</v>
      </c>
      <c r="S97" s="22">
        <f t="shared" si="21"/>
        <v>303.5</v>
      </c>
      <c r="T97" s="22">
        <f t="shared" si="21"/>
        <v>42.6</v>
      </c>
      <c r="U97" s="22">
        <f t="shared" si="21"/>
        <v>0</v>
      </c>
      <c r="V97" s="22">
        <f t="shared" si="21"/>
        <v>125.6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1422.3999999999999</v>
      </c>
      <c r="AG97" s="27">
        <f>B97+C97-AF97</f>
        <v>2742.2000000000007</v>
      </c>
    </row>
    <row r="98" spans="1:33" ht="15.75">
      <c r="A98" s="3" t="s">
        <v>1</v>
      </c>
      <c r="B98" s="22">
        <f aca="true" t="shared" si="22" ref="B98:AD98">B19+B28+B65+B35+B43+B56+B79</f>
        <v>4126.2</v>
      </c>
      <c r="C98" s="22">
        <f t="shared" si="22"/>
        <v>3740.4</v>
      </c>
      <c r="D98" s="22">
        <f t="shared" si="22"/>
        <v>264.59999999999997</v>
      </c>
      <c r="E98" s="22">
        <f t="shared" si="22"/>
        <v>0</v>
      </c>
      <c r="F98" s="22">
        <f t="shared" si="22"/>
        <v>15.8</v>
      </c>
      <c r="G98" s="22">
        <f t="shared" si="22"/>
        <v>0</v>
      </c>
      <c r="H98" s="22">
        <f t="shared" si="22"/>
        <v>0</v>
      </c>
      <c r="I98" s="22">
        <f t="shared" si="22"/>
        <v>416.8</v>
      </c>
      <c r="J98" s="22">
        <f t="shared" si="22"/>
        <v>1.5</v>
      </c>
      <c r="K98" s="22">
        <f t="shared" si="22"/>
        <v>19.3</v>
      </c>
      <c r="L98" s="22">
        <f t="shared" si="22"/>
        <v>262.2</v>
      </c>
      <c r="M98" s="22">
        <f t="shared" si="22"/>
        <v>1.5</v>
      </c>
      <c r="N98" s="22">
        <f t="shared" si="22"/>
        <v>10</v>
      </c>
      <c r="O98" s="22">
        <f t="shared" si="22"/>
        <v>826.9</v>
      </c>
      <c r="P98" s="22">
        <f t="shared" si="22"/>
        <v>15</v>
      </c>
      <c r="Q98" s="22">
        <f t="shared" si="22"/>
        <v>101.2</v>
      </c>
      <c r="R98" s="22">
        <f t="shared" si="22"/>
        <v>159</v>
      </c>
      <c r="S98" s="22">
        <f t="shared" si="22"/>
        <v>754.0000000000001</v>
      </c>
      <c r="T98" s="22">
        <f t="shared" si="22"/>
        <v>424.3</v>
      </c>
      <c r="U98" s="22">
        <f t="shared" si="22"/>
        <v>2.5</v>
      </c>
      <c r="V98" s="22">
        <f t="shared" si="22"/>
        <v>291.20000000000005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3565.8</v>
      </c>
      <c r="AG98" s="27">
        <f>B98+C98-AF98</f>
        <v>4300.8</v>
      </c>
    </row>
    <row r="99" spans="1:33" ht="15.75">
      <c r="A99" s="3" t="s">
        <v>17</v>
      </c>
      <c r="B99" s="22">
        <f aca="true" t="shared" si="23" ref="B99:AD99">B21+B30+B49+B37+B58+B13+B75</f>
        <v>2193.9</v>
      </c>
      <c r="C99" s="22">
        <f t="shared" si="23"/>
        <v>948.0999999999999</v>
      </c>
      <c r="D99" s="22">
        <f t="shared" si="23"/>
        <v>0.8</v>
      </c>
      <c r="E99" s="22">
        <f t="shared" si="23"/>
        <v>0</v>
      </c>
      <c r="F99" s="22">
        <f t="shared" si="23"/>
        <v>1.2</v>
      </c>
      <c r="G99" s="22">
        <f t="shared" si="23"/>
        <v>0</v>
      </c>
      <c r="H99" s="22">
        <f t="shared" si="23"/>
        <v>235.2</v>
      </c>
      <c r="I99" s="22">
        <f t="shared" si="23"/>
        <v>206</v>
      </c>
      <c r="J99" s="22">
        <f t="shared" si="23"/>
        <v>0</v>
      </c>
      <c r="K99" s="22">
        <f t="shared" si="23"/>
        <v>83.5</v>
      </c>
      <c r="L99" s="22">
        <f t="shared" si="23"/>
        <v>231.7</v>
      </c>
      <c r="M99" s="22">
        <f t="shared" si="23"/>
        <v>0</v>
      </c>
      <c r="N99" s="22">
        <f t="shared" si="23"/>
        <v>0</v>
      </c>
      <c r="O99" s="22">
        <f t="shared" si="23"/>
        <v>228.29999999999998</v>
      </c>
      <c r="P99" s="22">
        <f t="shared" si="23"/>
        <v>32</v>
      </c>
      <c r="Q99" s="22">
        <f t="shared" si="23"/>
        <v>301.3</v>
      </c>
      <c r="R99" s="22">
        <f t="shared" si="23"/>
        <v>118.2</v>
      </c>
      <c r="S99" s="22">
        <f t="shared" si="23"/>
        <v>110.8</v>
      </c>
      <c r="T99" s="22">
        <f t="shared" si="23"/>
        <v>238.7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1787.7</v>
      </c>
      <c r="AG99" s="27">
        <f>B99+C99-AF99</f>
        <v>1354.3</v>
      </c>
    </row>
    <row r="100" spans="1:33" ht="12.75">
      <c r="A100" s="1" t="s">
        <v>41</v>
      </c>
      <c r="B100" s="2">
        <f aca="true" t="shared" si="24" ref="B100:AD100">B94-B95-B96-B97-B98-B99</f>
        <v>76789.7</v>
      </c>
      <c r="C100" s="2">
        <f t="shared" si="24"/>
        <v>33659.700000000004</v>
      </c>
      <c r="D100" s="2">
        <f t="shared" si="24"/>
        <v>10815.800000000001</v>
      </c>
      <c r="E100" s="2">
        <f t="shared" si="24"/>
        <v>5137.099999999999</v>
      </c>
      <c r="F100" s="2">
        <f t="shared" si="24"/>
        <v>4245.8</v>
      </c>
      <c r="G100" s="2">
        <f t="shared" si="24"/>
        <v>5388.299999999999</v>
      </c>
      <c r="H100" s="2">
        <f t="shared" si="24"/>
        <v>911.2999999999956</v>
      </c>
      <c r="I100" s="2">
        <f t="shared" si="24"/>
        <v>403.70000000000005</v>
      </c>
      <c r="J100" s="2">
        <f t="shared" si="24"/>
        <v>2276.1000000000004</v>
      </c>
      <c r="K100" s="2">
        <f t="shared" si="24"/>
        <v>5835.9</v>
      </c>
      <c r="L100" s="2">
        <f t="shared" si="24"/>
        <v>3616.6000000000004</v>
      </c>
      <c r="M100" s="2">
        <f t="shared" si="24"/>
        <v>2480.7999999999997</v>
      </c>
      <c r="N100" s="2">
        <f t="shared" si="24"/>
        <v>3861.2</v>
      </c>
      <c r="O100" s="2">
        <f t="shared" si="24"/>
        <v>4827.400000000001</v>
      </c>
      <c r="P100" s="2">
        <f t="shared" si="24"/>
        <v>6567.2</v>
      </c>
      <c r="Q100" s="2">
        <f t="shared" si="24"/>
        <v>3159.2</v>
      </c>
      <c r="R100" s="2">
        <f t="shared" si="24"/>
        <v>955.8999999999955</v>
      </c>
      <c r="S100" s="2">
        <f t="shared" si="24"/>
        <v>1240.3000000000031</v>
      </c>
      <c r="T100" s="2">
        <f t="shared" si="24"/>
        <v>748.0000000000005</v>
      </c>
      <c r="U100" s="2">
        <f t="shared" si="24"/>
        <v>6967.0999999999985</v>
      </c>
      <c r="V100" s="2">
        <f t="shared" si="24"/>
        <v>8559.4</v>
      </c>
      <c r="W100" s="2">
        <f t="shared" si="24"/>
        <v>0</v>
      </c>
      <c r="X100" s="2">
        <f t="shared" si="24"/>
        <v>0</v>
      </c>
      <c r="Y100" s="2">
        <f t="shared" si="24"/>
        <v>0</v>
      </c>
      <c r="Z100" s="2">
        <f t="shared" si="24"/>
        <v>0</v>
      </c>
      <c r="AA100" s="2">
        <f t="shared" si="24"/>
        <v>0</v>
      </c>
      <c r="AB100" s="2">
        <f t="shared" si="24"/>
        <v>0</v>
      </c>
      <c r="AC100" s="2">
        <f t="shared" si="24"/>
        <v>0</v>
      </c>
      <c r="AD100" s="2">
        <f t="shared" si="24"/>
        <v>0</v>
      </c>
      <c r="AE100" s="2"/>
      <c r="AF100" s="2">
        <f>AF94-AF95-AF96-AF97-AF98-AF99</f>
        <v>77997.10000000003</v>
      </c>
      <c r="AG100" s="2">
        <f>AG94-AG95-AG96-AG97-AG98-AG99</f>
        <v>32452.299999999977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J14" sqref="AJ1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62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63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21</v>
      </c>
      <c r="R4" s="8">
        <v>22</v>
      </c>
      <c r="S4" s="19">
        <v>23</v>
      </c>
      <c r="T4" s="19">
        <v>24</v>
      </c>
      <c r="U4" s="8">
        <v>29</v>
      </c>
      <c r="V4" s="8">
        <v>30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/>
      <c r="F5" s="46">
        <v>907</v>
      </c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44552.2</v>
      </c>
      <c r="C7" s="72">
        <v>8179.7</v>
      </c>
      <c r="D7" s="45"/>
      <c r="E7" s="46">
        <v>22276.1</v>
      </c>
      <c r="F7" s="46"/>
      <c r="G7" s="46"/>
      <c r="H7" s="74"/>
      <c r="I7" s="46"/>
      <c r="J7" s="47"/>
      <c r="K7" s="46"/>
      <c r="L7" s="46"/>
      <c r="M7" s="46">
        <v>22276.1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6998.1</v>
      </c>
      <c r="AF7" s="72"/>
      <c r="AG7" s="48"/>
    </row>
    <row r="8" spans="1:55" ht="18" customHeight="1">
      <c r="A8" s="60" t="s">
        <v>34</v>
      </c>
      <c r="B8" s="40">
        <f>SUM(D8:AB8)</f>
        <v>74731.9</v>
      </c>
      <c r="C8" s="40">
        <v>145603.6</v>
      </c>
      <c r="D8" s="43">
        <v>5773.8</v>
      </c>
      <c r="E8" s="55">
        <v>4926.9</v>
      </c>
      <c r="F8" s="55">
        <v>1464.9</v>
      </c>
      <c r="G8" s="55">
        <v>2755.2</v>
      </c>
      <c r="H8" s="55">
        <v>3618.9</v>
      </c>
      <c r="I8" s="55">
        <v>5523.3</v>
      </c>
      <c r="J8" s="56">
        <v>1909.7</v>
      </c>
      <c r="K8" s="55">
        <v>998.7</v>
      </c>
      <c r="L8" s="55">
        <v>1928.4</v>
      </c>
      <c r="M8" s="55">
        <v>1769.8</v>
      </c>
      <c r="N8" s="55">
        <v>2093</v>
      </c>
      <c r="O8" s="55">
        <v>6466.3</v>
      </c>
      <c r="P8" s="55">
        <v>4085.6</v>
      </c>
      <c r="Q8" s="55">
        <v>3966.5</v>
      </c>
      <c r="R8" s="55">
        <v>3344.6</v>
      </c>
      <c r="S8" s="57">
        <v>4018.7</v>
      </c>
      <c r="T8" s="57">
        <v>2558.6</v>
      </c>
      <c r="U8" s="55">
        <v>6499.7</v>
      </c>
      <c r="V8" s="55">
        <v>11029.3</v>
      </c>
      <c r="W8" s="55"/>
      <c r="X8" s="56"/>
      <c r="Y8" s="56"/>
      <c r="Z8" s="56"/>
      <c r="AA8" s="56"/>
      <c r="AB8" s="55"/>
      <c r="AC8" s="23"/>
      <c r="AD8" s="23"/>
      <c r="AE8" s="61">
        <v>113789.5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143611.1</v>
      </c>
      <c r="C9" s="24">
        <f t="shared" si="0"/>
        <v>56449.29999999999</v>
      </c>
      <c r="D9" s="24">
        <f t="shared" si="0"/>
        <v>5774</v>
      </c>
      <c r="E9" s="24">
        <f t="shared" si="0"/>
        <v>6298.1</v>
      </c>
      <c r="F9" s="24">
        <f t="shared" si="0"/>
        <v>1555</v>
      </c>
      <c r="G9" s="24">
        <f t="shared" si="0"/>
        <v>2755.2</v>
      </c>
      <c r="H9" s="24">
        <f t="shared" si="0"/>
        <v>3618.9</v>
      </c>
      <c r="I9" s="24">
        <f t="shared" si="0"/>
        <v>14239.100000000002</v>
      </c>
      <c r="J9" s="24">
        <f t="shared" si="0"/>
        <v>3510.2</v>
      </c>
      <c r="K9" s="24">
        <f t="shared" si="0"/>
        <v>1052.6</v>
      </c>
      <c r="L9" s="24">
        <f t="shared" si="0"/>
        <v>20600.100000000002</v>
      </c>
      <c r="M9" s="24">
        <f t="shared" si="0"/>
        <v>16534.8</v>
      </c>
      <c r="N9" s="24">
        <f t="shared" si="0"/>
        <v>2099.6</v>
      </c>
      <c r="O9" s="24">
        <f t="shared" si="0"/>
        <v>6461.6</v>
      </c>
      <c r="P9" s="24">
        <f t="shared" si="0"/>
        <v>4361.799999999999</v>
      </c>
      <c r="Q9" s="24">
        <f t="shared" si="0"/>
        <v>4702.2</v>
      </c>
      <c r="R9" s="24">
        <f t="shared" si="0"/>
        <v>3709.2999999999997</v>
      </c>
      <c r="S9" s="24">
        <f t="shared" si="0"/>
        <v>11291.599999999999</v>
      </c>
      <c r="T9" s="24">
        <f t="shared" si="0"/>
        <v>22515.100000000002</v>
      </c>
      <c r="U9" s="24">
        <f t="shared" si="0"/>
        <v>11603.8</v>
      </c>
      <c r="V9" s="24">
        <f t="shared" si="0"/>
        <v>10503.8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153186.8</v>
      </c>
      <c r="AG9" s="50">
        <f>AG10+AG15+AG24+AG33+AG47+AG52+AG54+AG61+AG62+AG71+AG72+AG76+AG88+AG81+AG83+AG82+AG69+AG89+AG91+AG90+AG70+AG40+AG92</f>
        <v>46873.60000000001</v>
      </c>
      <c r="AH9" s="49"/>
      <c r="AI9" s="49"/>
    </row>
    <row r="10" spans="1:33" ht="15.75">
      <c r="A10" s="4" t="s">
        <v>4</v>
      </c>
      <c r="B10" s="22">
        <f>4930.1+11.7</f>
        <v>4941.8</v>
      </c>
      <c r="C10" s="22">
        <v>3530.4</v>
      </c>
      <c r="D10" s="22">
        <v>1.7</v>
      </c>
      <c r="E10" s="22">
        <v>178.2</v>
      </c>
      <c r="F10" s="22">
        <v>25.5</v>
      </c>
      <c r="G10" s="22">
        <v>182.3</v>
      </c>
      <c r="H10" s="22">
        <v>5.6</v>
      </c>
      <c r="I10" s="22">
        <v>37</v>
      </c>
      <c r="J10" s="25">
        <v>9.9</v>
      </c>
      <c r="K10" s="22">
        <v>0.6</v>
      </c>
      <c r="L10" s="22">
        <v>1194.6</v>
      </c>
      <c r="M10" s="22">
        <f>523+14.6</f>
        <v>537.6</v>
      </c>
      <c r="N10" s="22">
        <v>26.2</v>
      </c>
      <c r="O10" s="27">
        <v>11.2</v>
      </c>
      <c r="P10" s="22">
        <v>35</v>
      </c>
      <c r="Q10" s="22">
        <v>108.3</v>
      </c>
      <c r="R10" s="22">
        <v>22.7</v>
      </c>
      <c r="S10" s="26">
        <v>1259.6</v>
      </c>
      <c r="T10" s="26">
        <v>364.2</v>
      </c>
      <c r="U10" s="26">
        <v>910.7</v>
      </c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4910.9</v>
      </c>
      <c r="AG10" s="27">
        <f>B10+C10-AF10</f>
        <v>3561.300000000001</v>
      </c>
    </row>
    <row r="11" spans="1:33" ht="15.75">
      <c r="A11" s="3" t="s">
        <v>5</v>
      </c>
      <c r="B11" s="22">
        <v>4274.3</v>
      </c>
      <c r="C11" s="22">
        <v>2411.7</v>
      </c>
      <c r="D11" s="22"/>
      <c r="E11" s="22">
        <v>14.8</v>
      </c>
      <c r="F11" s="22"/>
      <c r="G11" s="22">
        <v>16.9</v>
      </c>
      <c r="H11" s="22"/>
      <c r="I11" s="22">
        <v>4.9</v>
      </c>
      <c r="J11" s="26">
        <v>0.8</v>
      </c>
      <c r="K11" s="22"/>
      <c r="L11" s="22">
        <v>1182.9</v>
      </c>
      <c r="M11" s="22">
        <f>471.7+14.6</f>
        <v>486.3</v>
      </c>
      <c r="N11" s="22">
        <v>13</v>
      </c>
      <c r="O11" s="27"/>
      <c r="P11" s="22">
        <v>15</v>
      </c>
      <c r="Q11" s="22"/>
      <c r="R11" s="22"/>
      <c r="S11" s="26">
        <v>1250</v>
      </c>
      <c r="T11" s="26">
        <v>346.4</v>
      </c>
      <c r="U11" s="26">
        <v>884.6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4215.6</v>
      </c>
      <c r="AG11" s="27">
        <f>B11+C11-AF11</f>
        <v>2470.3999999999996</v>
      </c>
    </row>
    <row r="12" spans="1:33" ht="15.75">
      <c r="A12" s="3" t="s">
        <v>2</v>
      </c>
      <c r="B12" s="36">
        <v>76</v>
      </c>
      <c r="C12" s="22">
        <v>257</v>
      </c>
      <c r="D12" s="22"/>
      <c r="E12" s="22"/>
      <c r="F12" s="22"/>
      <c r="G12" s="22">
        <v>150.2</v>
      </c>
      <c r="H12" s="22"/>
      <c r="I12" s="22"/>
      <c r="J12" s="26">
        <v>0.9</v>
      </c>
      <c r="K12" s="22">
        <v>0.6</v>
      </c>
      <c r="L12" s="22"/>
      <c r="M12" s="22"/>
      <c r="N12" s="22"/>
      <c r="O12" s="27"/>
      <c r="P12" s="22"/>
      <c r="Q12" s="22"/>
      <c r="R12" s="22"/>
      <c r="S12" s="26"/>
      <c r="T12" s="26">
        <v>2.2</v>
      </c>
      <c r="U12" s="26">
        <v>0.6</v>
      </c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154.49999999999997</v>
      </c>
      <c r="AG12" s="27">
        <f>B12+C12-AF12</f>
        <v>178.50000000000003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591.5</v>
      </c>
      <c r="C14" s="22">
        <f t="shared" si="2"/>
        <v>861.7000000000003</v>
      </c>
      <c r="D14" s="22">
        <f t="shared" si="2"/>
        <v>1.7</v>
      </c>
      <c r="E14" s="22">
        <f t="shared" si="2"/>
        <v>163.39999999999998</v>
      </c>
      <c r="F14" s="22">
        <f t="shared" si="2"/>
        <v>25.5</v>
      </c>
      <c r="G14" s="22">
        <f t="shared" si="2"/>
        <v>15.200000000000017</v>
      </c>
      <c r="H14" s="22">
        <f t="shared" si="2"/>
        <v>5.6</v>
      </c>
      <c r="I14" s="22">
        <f t="shared" si="2"/>
        <v>32.1</v>
      </c>
      <c r="J14" s="22">
        <f t="shared" si="2"/>
        <v>8.2</v>
      </c>
      <c r="K14" s="22">
        <f t="shared" si="2"/>
        <v>0</v>
      </c>
      <c r="L14" s="22">
        <f t="shared" si="2"/>
        <v>11.699999999999818</v>
      </c>
      <c r="M14" s="22">
        <f t="shared" si="2"/>
        <v>51.30000000000001</v>
      </c>
      <c r="N14" s="22">
        <f t="shared" si="2"/>
        <v>13.2</v>
      </c>
      <c r="O14" s="22">
        <f t="shared" si="2"/>
        <v>11.2</v>
      </c>
      <c r="P14" s="22">
        <f t="shared" si="2"/>
        <v>20</v>
      </c>
      <c r="Q14" s="22">
        <f t="shared" si="2"/>
        <v>108.3</v>
      </c>
      <c r="R14" s="22">
        <f t="shared" si="2"/>
        <v>22.7</v>
      </c>
      <c r="S14" s="22">
        <f t="shared" si="2"/>
        <v>9.599999999999909</v>
      </c>
      <c r="T14" s="22">
        <f t="shared" si="2"/>
        <v>15.600000000000012</v>
      </c>
      <c r="U14" s="22">
        <f t="shared" si="2"/>
        <v>25.50000000000002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540.7999999999996</v>
      </c>
      <c r="AG14" s="27">
        <f>AG10-AG11-AG12-AG13</f>
        <v>912.4000000000015</v>
      </c>
    </row>
    <row r="15" spans="1:33" ht="15" customHeight="1">
      <c r="A15" s="4" t="s">
        <v>6</v>
      </c>
      <c r="B15" s="22">
        <f>52034.1-1051.6+141.1</f>
        <v>51123.6</v>
      </c>
      <c r="C15" s="22">
        <v>15199</v>
      </c>
      <c r="D15" s="44">
        <v>0.2</v>
      </c>
      <c r="E15" s="44">
        <v>1550.5</v>
      </c>
      <c r="F15" s="22">
        <v>93.8</v>
      </c>
      <c r="G15" s="22">
        <v>823.1</v>
      </c>
      <c r="H15" s="22">
        <v>119.1</v>
      </c>
      <c r="I15" s="22">
        <v>7741.1</v>
      </c>
      <c r="J15" s="26">
        <v>114.5</v>
      </c>
      <c r="K15" s="22">
        <v>190</v>
      </c>
      <c r="L15" s="22">
        <v>7727.7</v>
      </c>
      <c r="M15" s="22">
        <v>14528.5</v>
      </c>
      <c r="N15" s="22">
        <v>462.3</v>
      </c>
      <c r="O15" s="27">
        <v>362.2</v>
      </c>
      <c r="P15" s="22">
        <v>553.3</v>
      </c>
      <c r="Q15" s="27">
        <v>38.5</v>
      </c>
      <c r="R15" s="22">
        <v>481.1</v>
      </c>
      <c r="S15" s="26">
        <v>3.7</v>
      </c>
      <c r="T15" s="26">
        <v>13890.3</v>
      </c>
      <c r="U15" s="26">
        <v>5040.9</v>
      </c>
      <c r="V15" s="26">
        <v>4.9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53725.7</v>
      </c>
      <c r="AG15" s="27">
        <f aca="true" t="shared" si="3" ref="AG15:AG31">B15+C15-AF15</f>
        <v>12596.900000000009</v>
      </c>
    </row>
    <row r="16" spans="1:34" s="70" customFormat="1" ht="15" customHeight="1">
      <c r="A16" s="65" t="s">
        <v>46</v>
      </c>
      <c r="B16" s="66">
        <f>29394.4-211.3</f>
        <v>29183.100000000002</v>
      </c>
      <c r="C16" s="66">
        <v>1549.5</v>
      </c>
      <c r="D16" s="67">
        <v>0.2</v>
      </c>
      <c r="E16" s="67">
        <v>1354.2</v>
      </c>
      <c r="F16" s="66">
        <v>90.1</v>
      </c>
      <c r="G16" s="66"/>
      <c r="H16" s="66"/>
      <c r="I16" s="66">
        <v>7741.1</v>
      </c>
      <c r="J16" s="68"/>
      <c r="K16" s="66">
        <v>79.7</v>
      </c>
      <c r="L16" s="66">
        <v>0.5</v>
      </c>
      <c r="M16" s="66">
        <v>14284</v>
      </c>
      <c r="N16" s="66"/>
      <c r="O16" s="69"/>
      <c r="P16" s="66">
        <v>271.3</v>
      </c>
      <c r="Q16" s="69">
        <v>5.1</v>
      </c>
      <c r="R16" s="66">
        <v>51.3</v>
      </c>
      <c r="S16" s="68">
        <v>1.4</v>
      </c>
      <c r="T16" s="68">
        <v>117.4</v>
      </c>
      <c r="U16" s="68">
        <v>5004.6</v>
      </c>
      <c r="V16" s="68">
        <v>4.8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29005.7</v>
      </c>
      <c r="AG16" s="71">
        <f t="shared" si="3"/>
        <v>1726.9000000000015</v>
      </c>
      <c r="AH16" s="75"/>
    </row>
    <row r="17" spans="1:34" ht="15.75">
      <c r="A17" s="3" t="s">
        <v>5</v>
      </c>
      <c r="B17" s="22">
        <f>42649.7+4738.6</f>
        <v>47388.299999999996</v>
      </c>
      <c r="C17" s="22">
        <v>1297.5</v>
      </c>
      <c r="D17" s="22"/>
      <c r="E17" s="22">
        <v>1305.4</v>
      </c>
      <c r="F17" s="22"/>
      <c r="G17" s="22">
        <v>14.8</v>
      </c>
      <c r="H17" s="22"/>
      <c r="I17" s="22">
        <v>7741.1</v>
      </c>
      <c r="J17" s="26"/>
      <c r="K17" s="22"/>
      <c r="L17" s="22">
        <v>6989.1</v>
      </c>
      <c r="M17" s="22">
        <v>14284</v>
      </c>
      <c r="N17" s="22"/>
      <c r="O17" s="27"/>
      <c r="P17" s="22"/>
      <c r="Q17" s="27"/>
      <c r="R17" s="22"/>
      <c r="S17" s="26"/>
      <c r="T17" s="26">
        <v>12975.3</v>
      </c>
      <c r="U17" s="26">
        <v>5001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48310.7</v>
      </c>
      <c r="AG17" s="27">
        <f t="shared" si="3"/>
        <v>375.09999999999854</v>
      </c>
      <c r="AH17" s="6"/>
    </row>
    <row r="18" spans="1:33" ht="15.75">
      <c r="A18" s="3" t="s">
        <v>3</v>
      </c>
      <c r="B18" s="22">
        <v>5.8</v>
      </c>
      <c r="C18" s="22">
        <v>16.3</v>
      </c>
      <c r="D18" s="22"/>
      <c r="E18" s="22"/>
      <c r="F18" s="22">
        <v>0.6</v>
      </c>
      <c r="G18" s="22"/>
      <c r="H18" s="22"/>
      <c r="I18" s="22"/>
      <c r="J18" s="26"/>
      <c r="K18" s="22"/>
      <c r="L18" s="22"/>
      <c r="M18" s="22"/>
      <c r="N18" s="22"/>
      <c r="O18" s="27"/>
      <c r="P18" s="22">
        <v>1.5</v>
      </c>
      <c r="Q18" s="27"/>
      <c r="R18" s="22"/>
      <c r="S18" s="26"/>
      <c r="T18" s="26">
        <v>1.7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3.8</v>
      </c>
      <c r="AG18" s="27">
        <f t="shared" si="3"/>
        <v>18.3</v>
      </c>
    </row>
    <row r="19" spans="1:33" ht="15.75">
      <c r="A19" s="3" t="s">
        <v>1</v>
      </c>
      <c r="B19" s="22">
        <f>1382.4-1051.6+141.1</f>
        <v>471.9000000000002</v>
      </c>
      <c r="C19" s="22">
        <v>4110.9</v>
      </c>
      <c r="D19" s="22"/>
      <c r="E19" s="22">
        <v>33.2</v>
      </c>
      <c r="F19" s="22">
        <v>10.5</v>
      </c>
      <c r="G19" s="22">
        <v>429.9</v>
      </c>
      <c r="H19" s="22">
        <v>102.7</v>
      </c>
      <c r="I19" s="22"/>
      <c r="J19" s="26"/>
      <c r="K19" s="22">
        <v>103.9</v>
      </c>
      <c r="L19" s="22"/>
      <c r="M19" s="22">
        <v>244.5</v>
      </c>
      <c r="N19" s="22">
        <v>7.4</v>
      </c>
      <c r="O19" s="27">
        <v>115.2</v>
      </c>
      <c r="P19" s="22">
        <v>99.7</v>
      </c>
      <c r="Q19" s="27"/>
      <c r="R19" s="22">
        <v>133.5</v>
      </c>
      <c r="S19" s="26"/>
      <c r="T19" s="26">
        <v>60</v>
      </c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1340.5</v>
      </c>
      <c r="AG19" s="27">
        <f t="shared" si="3"/>
        <v>3242.3</v>
      </c>
    </row>
    <row r="20" spans="1:33" ht="15.75">
      <c r="A20" s="3" t="s">
        <v>2</v>
      </c>
      <c r="B20" s="22">
        <f>4651.6-4441.1</f>
        <v>210.5</v>
      </c>
      <c r="C20" s="22">
        <v>6042.5</v>
      </c>
      <c r="D20" s="22"/>
      <c r="E20" s="22">
        <v>18.5</v>
      </c>
      <c r="F20" s="22">
        <v>39.4</v>
      </c>
      <c r="G20" s="22">
        <v>88.9</v>
      </c>
      <c r="H20" s="22"/>
      <c r="I20" s="22"/>
      <c r="J20" s="26"/>
      <c r="K20" s="22">
        <v>37.4</v>
      </c>
      <c r="L20" s="22">
        <v>86.7</v>
      </c>
      <c r="M20" s="22"/>
      <c r="N20" s="22">
        <v>103.9</v>
      </c>
      <c r="O20" s="27">
        <v>0.7</v>
      </c>
      <c r="P20" s="22">
        <v>146.1</v>
      </c>
      <c r="Q20" s="27">
        <v>22</v>
      </c>
      <c r="R20" s="22">
        <v>54.4</v>
      </c>
      <c r="S20" s="26"/>
      <c r="T20" s="26">
        <v>428.7</v>
      </c>
      <c r="U20" s="26"/>
      <c r="V20" s="26">
        <v>4.8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1031.5</v>
      </c>
      <c r="AG20" s="27">
        <f t="shared" si="3"/>
        <v>5221.5</v>
      </c>
    </row>
    <row r="21" spans="1:33" ht="15.75">
      <c r="A21" s="3" t="s">
        <v>17</v>
      </c>
      <c r="B21" s="22">
        <v>1107.4</v>
      </c>
      <c r="C21" s="22">
        <v>466.5</v>
      </c>
      <c r="D21" s="22"/>
      <c r="E21" s="22">
        <v>36.2</v>
      </c>
      <c r="F21" s="22"/>
      <c r="G21" s="22">
        <v>3.8</v>
      </c>
      <c r="H21" s="22">
        <v>12.7</v>
      </c>
      <c r="I21" s="22"/>
      <c r="J21" s="26">
        <v>114.5</v>
      </c>
      <c r="K21" s="22"/>
      <c r="L21" s="22">
        <v>331.8</v>
      </c>
      <c r="M21" s="22"/>
      <c r="N21" s="22">
        <v>187.3</v>
      </c>
      <c r="O21" s="27">
        <v>241.1</v>
      </c>
      <c r="P21" s="22"/>
      <c r="Q21" s="27"/>
      <c r="R21" s="22">
        <v>252</v>
      </c>
      <c r="S21" s="26"/>
      <c r="T21" s="26">
        <v>65.5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1244.9</v>
      </c>
      <c r="AG21" s="27">
        <f t="shared" si="3"/>
        <v>329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1939.7000000000025</v>
      </c>
      <c r="C23" s="22">
        <f t="shared" si="4"/>
        <v>3265.300000000001</v>
      </c>
      <c r="D23" s="22">
        <f t="shared" si="4"/>
        <v>0.2</v>
      </c>
      <c r="E23" s="22">
        <f t="shared" si="4"/>
        <v>157.19999999999993</v>
      </c>
      <c r="F23" s="22">
        <f t="shared" si="4"/>
        <v>43.300000000000004</v>
      </c>
      <c r="G23" s="22">
        <f t="shared" si="4"/>
        <v>285.7000000000001</v>
      </c>
      <c r="H23" s="22">
        <f t="shared" si="4"/>
        <v>3.699999999999992</v>
      </c>
      <c r="I23" s="22">
        <f t="shared" si="4"/>
        <v>0</v>
      </c>
      <c r="J23" s="22">
        <f t="shared" si="4"/>
        <v>0</v>
      </c>
      <c r="K23" s="22">
        <f t="shared" si="4"/>
        <v>48.699999999999996</v>
      </c>
      <c r="L23" s="22">
        <f t="shared" si="4"/>
        <v>320.0999999999994</v>
      </c>
      <c r="M23" s="22">
        <f t="shared" si="4"/>
        <v>0</v>
      </c>
      <c r="N23" s="22">
        <f t="shared" si="4"/>
        <v>163.7</v>
      </c>
      <c r="O23" s="22">
        <f t="shared" si="4"/>
        <v>5.200000000000017</v>
      </c>
      <c r="P23" s="22">
        <f t="shared" si="4"/>
        <v>306</v>
      </c>
      <c r="Q23" s="22">
        <f t="shared" si="4"/>
        <v>16.5</v>
      </c>
      <c r="R23" s="22">
        <f t="shared" si="4"/>
        <v>41.200000000000045</v>
      </c>
      <c r="S23" s="22">
        <f t="shared" si="4"/>
        <v>3.7</v>
      </c>
      <c r="T23" s="22">
        <f t="shared" si="4"/>
        <v>359.09999999999997</v>
      </c>
      <c r="U23" s="22">
        <f t="shared" si="4"/>
        <v>39.899999999999636</v>
      </c>
      <c r="V23" s="22">
        <f t="shared" si="4"/>
        <v>0.10000000000000053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1794.299999999999</v>
      </c>
      <c r="AG23" s="27">
        <f t="shared" si="3"/>
        <v>3410.7000000000044</v>
      </c>
    </row>
    <row r="24" spans="1:33" ht="15" customHeight="1">
      <c r="A24" s="4" t="s">
        <v>7</v>
      </c>
      <c r="B24" s="22">
        <f>23045+110+0.2</f>
        <v>23155.2</v>
      </c>
      <c r="C24" s="22">
        <v>6078.1</v>
      </c>
      <c r="D24" s="22"/>
      <c r="E24" s="22">
        <v>17</v>
      </c>
      <c r="F24" s="22"/>
      <c r="G24" s="22"/>
      <c r="H24" s="22"/>
      <c r="I24" s="22">
        <v>1119</v>
      </c>
      <c r="J24" s="26">
        <v>74</v>
      </c>
      <c r="K24" s="22"/>
      <c r="L24" s="22">
        <v>6482.1</v>
      </c>
      <c r="M24" s="22">
        <v>806.9</v>
      </c>
      <c r="N24" s="22"/>
      <c r="O24" s="27"/>
      <c r="P24" s="22"/>
      <c r="Q24" s="27">
        <v>928.2</v>
      </c>
      <c r="R24" s="27">
        <v>379.8</v>
      </c>
      <c r="S24" s="26">
        <v>9759</v>
      </c>
      <c r="T24" s="26">
        <v>2006.1</v>
      </c>
      <c r="U24" s="26">
        <v>100.2</v>
      </c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21672.3</v>
      </c>
      <c r="AG24" s="27">
        <f t="shared" si="3"/>
        <v>7561.000000000004</v>
      </c>
    </row>
    <row r="25" spans="1:34" s="70" customFormat="1" ht="15" customHeight="1">
      <c r="A25" s="65" t="s">
        <v>47</v>
      </c>
      <c r="B25" s="66">
        <f>18682.7+25.3</f>
        <v>18708</v>
      </c>
      <c r="C25" s="66">
        <v>3278.4</v>
      </c>
      <c r="D25" s="66"/>
      <c r="E25" s="66">
        <v>17</v>
      </c>
      <c r="F25" s="66"/>
      <c r="G25" s="66"/>
      <c r="H25" s="66"/>
      <c r="I25" s="66">
        <v>974.7</v>
      </c>
      <c r="J25" s="68">
        <v>16.3</v>
      </c>
      <c r="K25" s="66"/>
      <c r="L25" s="66">
        <v>6468</v>
      </c>
      <c r="M25" s="66">
        <v>487.6</v>
      </c>
      <c r="N25" s="66"/>
      <c r="O25" s="69"/>
      <c r="P25" s="66"/>
      <c r="Q25" s="69">
        <v>730.6</v>
      </c>
      <c r="R25" s="69">
        <v>313.4</v>
      </c>
      <c r="S25" s="68">
        <v>5778</v>
      </c>
      <c r="T25" s="68">
        <v>1842.4</v>
      </c>
      <c r="U25" s="68">
        <v>100.2</v>
      </c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16728.2</v>
      </c>
      <c r="AG25" s="71">
        <f t="shared" si="3"/>
        <v>5258.200000000001</v>
      </c>
      <c r="AH25" s="75"/>
    </row>
    <row r="26" spans="1:34" ht="15.75">
      <c r="A26" s="3" t="s">
        <v>5</v>
      </c>
      <c r="B26" s="22">
        <f>16455+924.8</f>
        <v>17379.8</v>
      </c>
      <c r="C26" s="22">
        <v>467.8</v>
      </c>
      <c r="D26" s="22"/>
      <c r="E26" s="22"/>
      <c r="F26" s="22"/>
      <c r="G26" s="22"/>
      <c r="H26" s="22"/>
      <c r="I26" s="22"/>
      <c r="J26" s="26"/>
      <c r="K26" s="22"/>
      <c r="L26" s="22">
        <v>6468</v>
      </c>
      <c r="M26" s="22"/>
      <c r="N26" s="22"/>
      <c r="O26" s="27"/>
      <c r="P26" s="22"/>
      <c r="Q26" s="27"/>
      <c r="R26" s="22"/>
      <c r="S26" s="26">
        <v>9728.3</v>
      </c>
      <c r="T26" s="26">
        <v>1605.6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17801.899999999998</v>
      </c>
      <c r="AG26" s="27">
        <f t="shared" si="3"/>
        <v>45.70000000000073</v>
      </c>
      <c r="AH26" s="6"/>
    </row>
    <row r="27" spans="1:33" ht="15.75">
      <c r="A27" s="3" t="s">
        <v>3</v>
      </c>
      <c r="B27" s="22">
        <f>1537.5+110-84</f>
        <v>1563.5</v>
      </c>
      <c r="C27" s="22">
        <v>2645.9</v>
      </c>
      <c r="D27" s="22"/>
      <c r="E27" s="22"/>
      <c r="F27" s="22"/>
      <c r="G27" s="22"/>
      <c r="H27" s="22"/>
      <c r="I27" s="22">
        <v>385.5</v>
      </c>
      <c r="J27" s="26">
        <v>30</v>
      </c>
      <c r="K27" s="22"/>
      <c r="L27" s="22"/>
      <c r="M27" s="22">
        <v>578.3</v>
      </c>
      <c r="N27" s="22"/>
      <c r="O27" s="27"/>
      <c r="P27" s="22"/>
      <c r="Q27" s="27">
        <v>388.2</v>
      </c>
      <c r="R27" s="22">
        <v>197.1</v>
      </c>
      <c r="S27" s="26">
        <v>2.6</v>
      </c>
      <c r="T27" s="26">
        <v>69.3</v>
      </c>
      <c r="U27" s="26">
        <v>4.6</v>
      </c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1655.5999999999997</v>
      </c>
      <c r="AG27" s="27">
        <f t="shared" si="3"/>
        <v>2553.8</v>
      </c>
    </row>
    <row r="28" spans="1:33" ht="15.75">
      <c r="A28" s="3" t="s">
        <v>1</v>
      </c>
      <c r="B28" s="22">
        <v>336.5</v>
      </c>
      <c r="C28" s="22">
        <v>8.9</v>
      </c>
      <c r="D28" s="22"/>
      <c r="E28" s="22"/>
      <c r="F28" s="22"/>
      <c r="G28" s="22"/>
      <c r="H28" s="22"/>
      <c r="I28" s="22">
        <v>39.2</v>
      </c>
      <c r="J28" s="26"/>
      <c r="K28" s="22"/>
      <c r="L28" s="22"/>
      <c r="M28" s="22">
        <v>35.9</v>
      </c>
      <c r="N28" s="22"/>
      <c r="O28" s="27"/>
      <c r="P28" s="22"/>
      <c r="Q28" s="27">
        <v>64.9</v>
      </c>
      <c r="R28" s="22">
        <v>14.2</v>
      </c>
      <c r="S28" s="26">
        <v>28</v>
      </c>
      <c r="T28" s="26">
        <v>147.6</v>
      </c>
      <c r="U28" s="26">
        <v>14.5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344.29999999999995</v>
      </c>
      <c r="AG28" s="27">
        <f t="shared" si="3"/>
        <v>1.1000000000000227</v>
      </c>
    </row>
    <row r="29" spans="1:33" ht="15.75">
      <c r="A29" s="3" t="s">
        <v>2</v>
      </c>
      <c r="B29" s="22">
        <f>1313.9-955</f>
        <v>358.9000000000001</v>
      </c>
      <c r="C29" s="22">
        <v>2460.9</v>
      </c>
      <c r="D29" s="22"/>
      <c r="E29" s="22">
        <v>17</v>
      </c>
      <c r="F29" s="22"/>
      <c r="G29" s="22"/>
      <c r="H29" s="22"/>
      <c r="I29" s="22">
        <v>472.5</v>
      </c>
      <c r="J29" s="26">
        <v>16.3</v>
      </c>
      <c r="K29" s="22"/>
      <c r="L29" s="22"/>
      <c r="M29" s="22">
        <v>18.8</v>
      </c>
      <c r="N29" s="22"/>
      <c r="O29" s="27"/>
      <c r="P29" s="22"/>
      <c r="Q29" s="27">
        <v>256.5</v>
      </c>
      <c r="R29" s="22">
        <v>97.1</v>
      </c>
      <c r="S29" s="26"/>
      <c r="T29" s="26"/>
      <c r="U29" s="26">
        <v>20</v>
      </c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898.2</v>
      </c>
      <c r="AG29" s="27">
        <f t="shared" si="3"/>
        <v>1921.6000000000001</v>
      </c>
    </row>
    <row r="30" spans="1:33" ht="15.75">
      <c r="A30" s="3" t="s">
        <v>17</v>
      </c>
      <c r="B30" s="22">
        <f>134.1+4.2</f>
        <v>138.29999999999998</v>
      </c>
      <c r="C30" s="22">
        <v>27.2</v>
      </c>
      <c r="D30" s="22"/>
      <c r="E30" s="22"/>
      <c r="F30" s="22"/>
      <c r="G30" s="22"/>
      <c r="H30" s="22"/>
      <c r="I30" s="22">
        <v>26.5</v>
      </c>
      <c r="J30" s="26"/>
      <c r="K30" s="22"/>
      <c r="L30" s="22"/>
      <c r="M30" s="22">
        <v>24.2</v>
      </c>
      <c r="N30" s="22"/>
      <c r="O30" s="27"/>
      <c r="P30" s="22"/>
      <c r="Q30" s="27">
        <v>67.9</v>
      </c>
      <c r="R30" s="22">
        <v>2.3</v>
      </c>
      <c r="S30" s="26"/>
      <c r="T30" s="26">
        <v>4</v>
      </c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124.9</v>
      </c>
      <c r="AG30" s="27">
        <f t="shared" si="3"/>
        <v>40.599999999999966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3378.200000000001</v>
      </c>
      <c r="C32" s="22">
        <f t="shared" si="5"/>
        <v>467.3999999999999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195.29999999999995</v>
      </c>
      <c r="J32" s="22">
        <f t="shared" si="5"/>
        <v>27.7</v>
      </c>
      <c r="K32" s="22">
        <f t="shared" si="5"/>
        <v>0</v>
      </c>
      <c r="L32" s="22">
        <f t="shared" si="5"/>
        <v>14.100000000000364</v>
      </c>
      <c r="M32" s="22">
        <f t="shared" si="5"/>
        <v>149.70000000000002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150.70000000000002</v>
      </c>
      <c r="R32" s="22">
        <f t="shared" si="5"/>
        <v>69.10000000000004</v>
      </c>
      <c r="S32" s="22">
        <f t="shared" si="5"/>
        <v>0.10000000000072617</v>
      </c>
      <c r="T32" s="22">
        <f t="shared" si="5"/>
        <v>179.6</v>
      </c>
      <c r="U32" s="22">
        <f t="shared" si="5"/>
        <v>61.10000000000001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847.4000000000011</v>
      </c>
      <c r="AG32" s="27">
        <f>AG24-AG26-AG27-AG28-AG29-AG30-AG31</f>
        <v>2998.200000000002</v>
      </c>
    </row>
    <row r="33" spans="1:33" ht="15" customHeight="1">
      <c r="A33" s="4" t="s">
        <v>8</v>
      </c>
      <c r="B33" s="22">
        <f>1986.4+115.2</f>
        <v>2101.6</v>
      </c>
      <c r="C33" s="22">
        <v>394.1</v>
      </c>
      <c r="D33" s="22"/>
      <c r="E33" s="22"/>
      <c r="F33" s="22"/>
      <c r="G33" s="22"/>
      <c r="H33" s="22"/>
      <c r="I33" s="22"/>
      <c r="J33" s="26"/>
      <c r="K33" s="22"/>
      <c r="L33" s="22">
        <v>6.7</v>
      </c>
      <c r="M33" s="22">
        <v>60.6</v>
      </c>
      <c r="N33" s="22">
        <v>0.7</v>
      </c>
      <c r="O33" s="27"/>
      <c r="P33" s="22"/>
      <c r="Q33" s="27">
        <v>0.5</v>
      </c>
      <c r="R33" s="22"/>
      <c r="S33" s="26"/>
      <c r="T33" s="26">
        <v>92.7</v>
      </c>
      <c r="U33" s="26">
        <v>2.8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164</v>
      </c>
      <c r="AG33" s="27">
        <f aca="true" t="shared" si="6" ref="AG33:AG38">B33+C33-AF33</f>
        <v>2331.7</v>
      </c>
    </row>
    <row r="34" spans="1:33" ht="15.75">
      <c r="A34" s="3" t="s">
        <v>5</v>
      </c>
      <c r="B34" s="22">
        <v>165.6</v>
      </c>
      <c r="C34" s="22">
        <v>23.5</v>
      </c>
      <c r="D34" s="22"/>
      <c r="E34" s="22"/>
      <c r="F34" s="22"/>
      <c r="G34" s="22"/>
      <c r="H34" s="22"/>
      <c r="I34" s="22"/>
      <c r="J34" s="26"/>
      <c r="K34" s="22"/>
      <c r="L34" s="22"/>
      <c r="M34" s="22">
        <v>60.6</v>
      </c>
      <c r="N34" s="22"/>
      <c r="O34" s="22"/>
      <c r="P34" s="22"/>
      <c r="Q34" s="27"/>
      <c r="R34" s="22"/>
      <c r="S34" s="26"/>
      <c r="T34" s="26">
        <v>92.7</v>
      </c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153.3</v>
      </c>
      <c r="AG34" s="27">
        <f t="shared" si="6"/>
        <v>35.79999999999998</v>
      </c>
    </row>
    <row r="35" spans="1:33" ht="15.75">
      <c r="A35" s="3" t="s">
        <v>1</v>
      </c>
      <c r="B35" s="22">
        <v>165.9</v>
      </c>
      <c r="C35" s="22">
        <v>165.9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331.8</v>
      </c>
    </row>
    <row r="36" spans="1:33" ht="15.75">
      <c r="A36" s="3" t="s">
        <v>2</v>
      </c>
      <c r="B36" s="44">
        <v>4.8</v>
      </c>
      <c r="C36" s="22">
        <v>167.1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0.3</v>
      </c>
      <c r="O36" s="27"/>
      <c r="P36" s="22"/>
      <c r="Q36" s="27"/>
      <c r="R36" s="22"/>
      <c r="S36" s="26"/>
      <c r="T36" s="26"/>
      <c r="U36" s="22">
        <v>2.8</v>
      </c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3.0999999999999996</v>
      </c>
      <c r="AG36" s="27">
        <f t="shared" si="6"/>
        <v>168.8</v>
      </c>
    </row>
    <row r="37" spans="1:33" ht="15.75">
      <c r="A37" s="3" t="s">
        <v>17</v>
      </c>
      <c r="B37" s="22">
        <f>1608.1+115.2</f>
        <v>1723.3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1723.3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42.000000000000085</v>
      </c>
      <c r="C39" s="22">
        <f t="shared" si="7"/>
        <v>37.60000000000002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6.7</v>
      </c>
      <c r="M39" s="22">
        <f t="shared" si="7"/>
        <v>0</v>
      </c>
      <c r="N39" s="22">
        <f t="shared" si="7"/>
        <v>0.39999999999999997</v>
      </c>
      <c r="O39" s="22">
        <f t="shared" si="7"/>
        <v>0</v>
      </c>
      <c r="P39" s="22">
        <f t="shared" si="7"/>
        <v>0</v>
      </c>
      <c r="Q39" s="22">
        <f t="shared" si="7"/>
        <v>0.5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7.6000000000000005</v>
      </c>
      <c r="AG39" s="27">
        <f>AG33-AG34-AG36-AG38-AG35-AG37</f>
        <v>71.99999999999955</v>
      </c>
    </row>
    <row r="40" spans="1:33" ht="15" customHeight="1">
      <c r="A40" s="4" t="s">
        <v>33</v>
      </c>
      <c r="B40" s="22">
        <v>633.4</v>
      </c>
      <c r="C40" s="22">
        <v>154.4</v>
      </c>
      <c r="D40" s="22"/>
      <c r="E40" s="22"/>
      <c r="F40" s="22"/>
      <c r="G40" s="22"/>
      <c r="H40" s="22">
        <v>9.3</v>
      </c>
      <c r="I40" s="22"/>
      <c r="J40" s="26"/>
      <c r="K40" s="22">
        <v>4.6</v>
      </c>
      <c r="L40" s="22">
        <v>275.3</v>
      </c>
      <c r="M40" s="22"/>
      <c r="N40" s="22"/>
      <c r="O40" s="27"/>
      <c r="P40" s="22"/>
      <c r="Q40" s="27"/>
      <c r="R40" s="27">
        <v>25.3</v>
      </c>
      <c r="S40" s="26"/>
      <c r="T40" s="26">
        <v>352.3</v>
      </c>
      <c r="U40" s="26">
        <v>6.4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673.1999999999999</v>
      </c>
      <c r="AG40" s="27">
        <f aca="true" t="shared" si="8" ref="AG40:AG45">B40+C40-AF40</f>
        <v>114.60000000000002</v>
      </c>
    </row>
    <row r="41" spans="1:34" ht="15.75">
      <c r="A41" s="3" t="s">
        <v>5</v>
      </c>
      <c r="B41" s="22">
        <v>591</v>
      </c>
      <c r="C41" s="22">
        <v>67.8</v>
      </c>
      <c r="D41" s="22"/>
      <c r="E41" s="22"/>
      <c r="F41" s="22"/>
      <c r="G41" s="22"/>
      <c r="H41" s="22"/>
      <c r="I41" s="22"/>
      <c r="J41" s="26"/>
      <c r="K41" s="22"/>
      <c r="L41" s="22">
        <v>269.8</v>
      </c>
      <c r="M41" s="22"/>
      <c r="N41" s="22"/>
      <c r="O41" s="27"/>
      <c r="P41" s="22"/>
      <c r="Q41" s="22"/>
      <c r="R41" s="22">
        <v>13.5</v>
      </c>
      <c r="S41" s="26"/>
      <c r="T41" s="26">
        <v>346.9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630.2</v>
      </c>
      <c r="AG41" s="27">
        <f t="shared" si="8"/>
        <v>28.59999999999991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7</v>
      </c>
      <c r="C43" s="22">
        <v>2.5</v>
      </c>
      <c r="D43" s="22"/>
      <c r="E43" s="22"/>
      <c r="F43" s="22"/>
      <c r="G43" s="22"/>
      <c r="H43" s="22"/>
      <c r="I43" s="22"/>
      <c r="J43" s="26"/>
      <c r="K43" s="22">
        <v>4.6</v>
      </c>
      <c r="L43" s="22"/>
      <c r="M43" s="22"/>
      <c r="N43" s="22"/>
      <c r="O43" s="27"/>
      <c r="P43" s="22"/>
      <c r="Q43" s="22"/>
      <c r="R43" s="22">
        <v>1.6</v>
      </c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6.199999999999999</v>
      </c>
      <c r="AG43" s="27">
        <f t="shared" si="8"/>
        <v>3.3000000000000007</v>
      </c>
    </row>
    <row r="44" spans="1:33" ht="15.75">
      <c r="A44" s="3" t="s">
        <v>2</v>
      </c>
      <c r="B44" s="22">
        <v>4.8</v>
      </c>
      <c r="C44" s="22">
        <v>31</v>
      </c>
      <c r="D44" s="22"/>
      <c r="E44" s="22"/>
      <c r="F44" s="22"/>
      <c r="G44" s="22"/>
      <c r="H44" s="22">
        <v>0.6</v>
      </c>
      <c r="I44" s="22"/>
      <c r="J44" s="26"/>
      <c r="K44" s="22"/>
      <c r="L44" s="22"/>
      <c r="M44" s="22"/>
      <c r="N44" s="22"/>
      <c r="O44" s="27"/>
      <c r="P44" s="22"/>
      <c r="Q44" s="22"/>
      <c r="R44" s="22">
        <v>4.2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4.8</v>
      </c>
      <c r="AG44" s="27">
        <f t="shared" si="8"/>
        <v>30.999999999999996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30.599999999999977</v>
      </c>
      <c r="C46" s="22">
        <f t="shared" si="10"/>
        <v>53.10000000000001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8.700000000000001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5.5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6.000000000000001</v>
      </c>
      <c r="S46" s="22">
        <f t="shared" si="10"/>
        <v>0</v>
      </c>
      <c r="T46" s="22">
        <f t="shared" si="10"/>
        <v>5.400000000000034</v>
      </c>
      <c r="U46" s="22">
        <f t="shared" si="10"/>
        <v>6.4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32.000000000000036</v>
      </c>
      <c r="AG46" s="27">
        <f>AG40-AG41-AG42-AG43-AG44-AG45</f>
        <v>51.70000000000012</v>
      </c>
    </row>
    <row r="47" spans="1:33" ht="17.25" customHeight="1">
      <c r="A47" s="4" t="s">
        <v>15</v>
      </c>
      <c r="B47" s="36">
        <f>877.9-120.8</f>
        <v>757.1</v>
      </c>
      <c r="C47" s="22">
        <v>1003</v>
      </c>
      <c r="D47" s="22">
        <v>6.4</v>
      </c>
      <c r="E47" s="28">
        <v>35.4</v>
      </c>
      <c r="F47" s="28">
        <v>80</v>
      </c>
      <c r="G47" s="28"/>
      <c r="H47" s="28">
        <v>178.3</v>
      </c>
      <c r="I47" s="28">
        <v>58.6</v>
      </c>
      <c r="J47" s="29">
        <v>51.8</v>
      </c>
      <c r="K47" s="28"/>
      <c r="L47" s="28">
        <v>190.1</v>
      </c>
      <c r="M47" s="28">
        <v>5</v>
      </c>
      <c r="N47" s="28"/>
      <c r="O47" s="31">
        <v>10.1</v>
      </c>
      <c r="P47" s="28">
        <v>4.4</v>
      </c>
      <c r="Q47" s="28">
        <v>27.6</v>
      </c>
      <c r="R47" s="28"/>
      <c r="S47" s="29">
        <v>138.2</v>
      </c>
      <c r="T47" s="29">
        <v>84.6</v>
      </c>
      <c r="U47" s="28">
        <v>48.3</v>
      </c>
      <c r="V47" s="28">
        <v>7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925.8000000000001</v>
      </c>
      <c r="AG47" s="27">
        <f>B47+C47-AF47</f>
        <v>834.2999999999998</v>
      </c>
    </row>
    <row r="48" spans="1:33" ht="15.75">
      <c r="A48" s="3" t="s">
        <v>5</v>
      </c>
      <c r="B48" s="22">
        <v>31.2</v>
      </c>
      <c r="C48" s="22">
        <v>45.7</v>
      </c>
      <c r="D48" s="22"/>
      <c r="E48" s="28"/>
      <c r="F48" s="28"/>
      <c r="G48" s="28"/>
      <c r="H48" s="28">
        <v>18.9</v>
      </c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18.9</v>
      </c>
      <c r="AG48" s="27">
        <f>B48+C48-AF48</f>
        <v>58.00000000000001</v>
      </c>
    </row>
    <row r="49" spans="1:33" ht="15.75">
      <c r="A49" s="3" t="s">
        <v>17</v>
      </c>
      <c r="B49" s="22">
        <f>695.2-120.8-2.1</f>
        <v>572.3000000000001</v>
      </c>
      <c r="C49" s="22">
        <v>562.9</v>
      </c>
      <c r="D49" s="22"/>
      <c r="E49" s="22"/>
      <c r="F49" s="22">
        <v>79.7</v>
      </c>
      <c r="G49" s="22"/>
      <c r="H49" s="22">
        <v>149.6</v>
      </c>
      <c r="I49" s="22">
        <v>58</v>
      </c>
      <c r="J49" s="26">
        <v>51.2</v>
      </c>
      <c r="K49" s="22"/>
      <c r="L49" s="22">
        <v>190</v>
      </c>
      <c r="M49" s="22">
        <v>5</v>
      </c>
      <c r="N49" s="22"/>
      <c r="O49" s="27">
        <v>10</v>
      </c>
      <c r="P49" s="22"/>
      <c r="Q49" s="22">
        <v>27.6</v>
      </c>
      <c r="R49" s="22"/>
      <c r="S49" s="26">
        <v>137.4</v>
      </c>
      <c r="T49" s="26">
        <v>57.3</v>
      </c>
      <c r="U49" s="22">
        <v>28.2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794</v>
      </c>
      <c r="AG49" s="27">
        <f>B49+C49-AF49</f>
        <v>341.20000000000005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153.5999999999999</v>
      </c>
      <c r="C51" s="22">
        <f t="shared" si="11"/>
        <v>394.4</v>
      </c>
      <c r="D51" s="22">
        <f t="shared" si="11"/>
        <v>6.4</v>
      </c>
      <c r="E51" s="22">
        <f t="shared" si="11"/>
        <v>35.4</v>
      </c>
      <c r="F51" s="22">
        <f t="shared" si="11"/>
        <v>0.29999999999999716</v>
      </c>
      <c r="G51" s="22">
        <f t="shared" si="11"/>
        <v>0</v>
      </c>
      <c r="H51" s="22">
        <f t="shared" si="11"/>
        <v>9.800000000000011</v>
      </c>
      <c r="I51" s="22">
        <f t="shared" si="11"/>
        <v>0.6000000000000014</v>
      </c>
      <c r="J51" s="22">
        <f t="shared" si="11"/>
        <v>0.5999999999999943</v>
      </c>
      <c r="K51" s="22">
        <f t="shared" si="11"/>
        <v>0</v>
      </c>
      <c r="L51" s="22">
        <f t="shared" si="11"/>
        <v>0.09999999999999432</v>
      </c>
      <c r="M51" s="22">
        <f t="shared" si="11"/>
        <v>0</v>
      </c>
      <c r="N51" s="22">
        <f t="shared" si="11"/>
        <v>0</v>
      </c>
      <c r="O51" s="22">
        <f t="shared" si="11"/>
        <v>0.09999999999999964</v>
      </c>
      <c r="P51" s="22">
        <f t="shared" si="11"/>
        <v>4.4</v>
      </c>
      <c r="Q51" s="22">
        <f t="shared" si="11"/>
        <v>0</v>
      </c>
      <c r="R51" s="22">
        <f t="shared" si="11"/>
        <v>0</v>
      </c>
      <c r="S51" s="22">
        <f t="shared" si="11"/>
        <v>0.799999999999983</v>
      </c>
      <c r="T51" s="22">
        <f t="shared" si="11"/>
        <v>27.299999999999997</v>
      </c>
      <c r="U51" s="22">
        <f t="shared" si="11"/>
        <v>20.099999999999998</v>
      </c>
      <c r="V51" s="22">
        <f t="shared" si="11"/>
        <v>7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112.89999999999998</v>
      </c>
      <c r="AG51" s="27">
        <f>AG47-AG49-AG48</f>
        <v>435.0999999999998</v>
      </c>
    </row>
    <row r="52" spans="1:33" ht="15" customHeight="1">
      <c r="A52" s="4" t="s">
        <v>0</v>
      </c>
      <c r="B52" s="22">
        <v>4375.3</v>
      </c>
      <c r="C52" s="22">
        <v>9181.5</v>
      </c>
      <c r="D52" s="22">
        <v>474.9</v>
      </c>
      <c r="E52" s="22">
        <v>1704.1</v>
      </c>
      <c r="F52" s="22">
        <v>476.3</v>
      </c>
      <c r="G52" s="22">
        <v>96.2</v>
      </c>
      <c r="H52" s="22"/>
      <c r="I52" s="22">
        <v>437.3</v>
      </c>
      <c r="J52" s="26">
        <v>38.4</v>
      </c>
      <c r="K52" s="22"/>
      <c r="L52" s="22">
        <v>663</v>
      </c>
      <c r="M52" s="22">
        <v>74.5</v>
      </c>
      <c r="N52" s="22">
        <v>330.4</v>
      </c>
      <c r="O52" s="27">
        <f>382.7+99.8</f>
        <v>482.5</v>
      </c>
      <c r="P52" s="22">
        <v>93.4</v>
      </c>
      <c r="Q52" s="22"/>
      <c r="R52" s="22">
        <v>594.6</v>
      </c>
      <c r="S52" s="26">
        <v>2.5</v>
      </c>
      <c r="T52" s="26">
        <v>112.3</v>
      </c>
      <c r="U52" s="26">
        <v>1285.9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6866.300000000001</v>
      </c>
      <c r="AG52" s="27">
        <f aca="true" t="shared" si="12" ref="AG52:AG59">B52+C52-AF52</f>
        <v>6690.499999999998</v>
      </c>
    </row>
    <row r="53" spans="1:33" ht="15" customHeight="1">
      <c r="A53" s="3" t="s">
        <v>2</v>
      </c>
      <c r="B53" s="22">
        <v>429.6</v>
      </c>
      <c r="C53" s="22">
        <v>593.8</v>
      </c>
      <c r="D53" s="22">
        <v>64.8</v>
      </c>
      <c r="E53" s="22">
        <v>24.2</v>
      </c>
      <c r="F53" s="22"/>
      <c r="G53" s="22"/>
      <c r="H53" s="22"/>
      <c r="I53" s="22">
        <v>437.3</v>
      </c>
      <c r="J53" s="26"/>
      <c r="K53" s="22"/>
      <c r="L53" s="22">
        <v>329.2</v>
      </c>
      <c r="M53" s="22">
        <v>2.4</v>
      </c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857.9</v>
      </c>
      <c r="AG53" s="27">
        <f t="shared" si="12"/>
        <v>165.5</v>
      </c>
    </row>
    <row r="54" spans="1:34" ht="15" customHeight="1">
      <c r="A54" s="4" t="s">
        <v>9</v>
      </c>
      <c r="B54" s="44">
        <f>8021.7-6.4-43.3</f>
        <v>7972</v>
      </c>
      <c r="C54" s="22">
        <v>1757.5</v>
      </c>
      <c r="D54" s="22">
        <v>12.1</v>
      </c>
      <c r="E54" s="22">
        <v>525</v>
      </c>
      <c r="F54" s="22">
        <v>37</v>
      </c>
      <c r="G54" s="22">
        <v>13.4</v>
      </c>
      <c r="H54" s="22"/>
      <c r="I54" s="22">
        <v>40.6</v>
      </c>
      <c r="J54" s="26">
        <v>24.8</v>
      </c>
      <c r="K54" s="22"/>
      <c r="L54" s="22">
        <v>3972.2</v>
      </c>
      <c r="M54" s="22">
        <v>0.4</v>
      </c>
      <c r="N54" s="22">
        <v>148.2</v>
      </c>
      <c r="O54" s="27">
        <v>0.1</v>
      </c>
      <c r="P54" s="22"/>
      <c r="Q54" s="27">
        <v>42.9</v>
      </c>
      <c r="R54" s="22">
        <v>0.5</v>
      </c>
      <c r="S54" s="26">
        <v>23.8</v>
      </c>
      <c r="T54" s="26">
        <v>2824.4</v>
      </c>
      <c r="U54" s="26">
        <v>23.3</v>
      </c>
      <c r="V54" s="26">
        <v>10.5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7699.2</v>
      </c>
      <c r="AG54" s="22">
        <f t="shared" si="12"/>
        <v>2030.3000000000002</v>
      </c>
      <c r="AH54" s="6"/>
    </row>
    <row r="55" spans="1:34" ht="15.75">
      <c r="A55" s="3" t="s">
        <v>5</v>
      </c>
      <c r="B55" s="22">
        <v>6739.9</v>
      </c>
      <c r="C55" s="22">
        <v>213.6</v>
      </c>
      <c r="D55" s="22"/>
      <c r="E55" s="22">
        <v>10</v>
      </c>
      <c r="F55" s="22"/>
      <c r="G55" s="22"/>
      <c r="H55" s="22"/>
      <c r="I55" s="22"/>
      <c r="J55" s="26"/>
      <c r="K55" s="22"/>
      <c r="L55" s="22">
        <v>3950.5</v>
      </c>
      <c r="M55" s="22"/>
      <c r="N55" s="22"/>
      <c r="O55" s="27"/>
      <c r="P55" s="22"/>
      <c r="Q55" s="27"/>
      <c r="R55" s="22"/>
      <c r="S55" s="26"/>
      <c r="T55" s="26">
        <v>2820.4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6780.9</v>
      </c>
      <c r="AG55" s="22">
        <f t="shared" si="12"/>
        <v>172.60000000000036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32.9</v>
      </c>
      <c r="C57" s="22">
        <v>605.8</v>
      </c>
      <c r="D57" s="22"/>
      <c r="E57" s="22">
        <v>18.1</v>
      </c>
      <c r="F57" s="22"/>
      <c r="G57" s="22">
        <v>0.3</v>
      </c>
      <c r="H57" s="22"/>
      <c r="I57" s="22">
        <v>0.3</v>
      </c>
      <c r="J57" s="26"/>
      <c r="K57" s="22"/>
      <c r="L57" s="22">
        <v>0.1</v>
      </c>
      <c r="M57" s="22"/>
      <c r="N57" s="22">
        <v>3</v>
      </c>
      <c r="O57" s="27"/>
      <c r="P57" s="22"/>
      <c r="Q57" s="27">
        <v>3.8</v>
      </c>
      <c r="R57" s="22">
        <v>0.3</v>
      </c>
      <c r="S57" s="26">
        <v>2</v>
      </c>
      <c r="T57" s="26">
        <v>1.3</v>
      </c>
      <c r="U57" s="26">
        <v>8.7</v>
      </c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37.900000000000006</v>
      </c>
      <c r="AG57" s="22">
        <f t="shared" si="12"/>
        <v>600.8</v>
      </c>
    </row>
    <row r="58" spans="1:33" ht="15.7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1199.2000000000003</v>
      </c>
      <c r="C60" s="22">
        <f t="shared" si="13"/>
        <v>938.1000000000001</v>
      </c>
      <c r="D60" s="22">
        <f t="shared" si="13"/>
        <v>12.1</v>
      </c>
      <c r="E60" s="22">
        <f t="shared" si="13"/>
        <v>496.9</v>
      </c>
      <c r="F60" s="22">
        <f t="shared" si="13"/>
        <v>37</v>
      </c>
      <c r="G60" s="22">
        <f t="shared" si="13"/>
        <v>13.1</v>
      </c>
      <c r="H60" s="22">
        <f t="shared" si="13"/>
        <v>0</v>
      </c>
      <c r="I60" s="22">
        <f t="shared" si="13"/>
        <v>40.300000000000004</v>
      </c>
      <c r="J60" s="22">
        <f t="shared" si="13"/>
        <v>24.8</v>
      </c>
      <c r="K60" s="22">
        <f t="shared" si="13"/>
        <v>0</v>
      </c>
      <c r="L60" s="22">
        <f t="shared" si="13"/>
        <v>21.599999999999817</v>
      </c>
      <c r="M60" s="22">
        <f t="shared" si="13"/>
        <v>0.4</v>
      </c>
      <c r="N60" s="22">
        <f t="shared" si="13"/>
        <v>145.2</v>
      </c>
      <c r="O60" s="22">
        <f t="shared" si="13"/>
        <v>0.1</v>
      </c>
      <c r="P60" s="22">
        <f t="shared" si="13"/>
        <v>0</v>
      </c>
      <c r="Q60" s="22">
        <f t="shared" si="13"/>
        <v>39.1</v>
      </c>
      <c r="R60" s="22">
        <f t="shared" si="13"/>
        <v>0.2</v>
      </c>
      <c r="S60" s="22">
        <f t="shared" si="13"/>
        <v>21.8</v>
      </c>
      <c r="T60" s="22">
        <f t="shared" si="13"/>
        <v>2.7</v>
      </c>
      <c r="U60" s="22">
        <f t="shared" si="13"/>
        <v>14.600000000000001</v>
      </c>
      <c r="V60" s="22">
        <f t="shared" si="13"/>
        <v>10.5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880.4000000000002</v>
      </c>
      <c r="AG60" s="22">
        <f>AG54-AG55-AG57-AG59-AG56-AG58</f>
        <v>1256.8999999999999</v>
      </c>
    </row>
    <row r="61" spans="1:33" ht="15" customHeight="1">
      <c r="A61" s="4" t="s">
        <v>10</v>
      </c>
      <c r="B61" s="22">
        <f>70+3+6.4+57.3</f>
        <v>136.7</v>
      </c>
      <c r="C61" s="22">
        <v>63.5</v>
      </c>
      <c r="D61" s="22"/>
      <c r="E61" s="22">
        <v>2.3</v>
      </c>
      <c r="F61" s="22">
        <v>3</v>
      </c>
      <c r="G61" s="22">
        <v>1.5</v>
      </c>
      <c r="H61" s="22"/>
      <c r="I61" s="22">
        <v>17.9</v>
      </c>
      <c r="J61" s="26"/>
      <c r="K61" s="22"/>
      <c r="L61" s="22"/>
      <c r="M61" s="22"/>
      <c r="N61" s="22">
        <v>19.5</v>
      </c>
      <c r="O61" s="27"/>
      <c r="P61" s="22"/>
      <c r="Q61" s="27"/>
      <c r="R61" s="22"/>
      <c r="S61" s="26">
        <v>82.4</v>
      </c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126.60000000000001</v>
      </c>
      <c r="AG61" s="22">
        <f aca="true" t="shared" si="15" ref="AG61:AG67">B61+C61-AF61</f>
        <v>73.59999999999998</v>
      </c>
    </row>
    <row r="62" spans="1:33" ht="15" customHeight="1">
      <c r="A62" s="4" t="s">
        <v>11</v>
      </c>
      <c r="B62" s="22">
        <f>1783.7+740.6</f>
        <v>2524.3</v>
      </c>
      <c r="C62" s="22">
        <v>999.2</v>
      </c>
      <c r="D62" s="22"/>
      <c r="E62" s="22">
        <v>40</v>
      </c>
      <c r="F62" s="22"/>
      <c r="G62" s="22"/>
      <c r="H62" s="22"/>
      <c r="I62" s="22"/>
      <c r="J62" s="26">
        <v>122.9</v>
      </c>
      <c r="K62" s="22"/>
      <c r="L62" s="22">
        <v>42.7</v>
      </c>
      <c r="M62" s="22">
        <v>443</v>
      </c>
      <c r="N62" s="22">
        <v>56.4</v>
      </c>
      <c r="O62" s="27">
        <v>3.7</v>
      </c>
      <c r="P62" s="22"/>
      <c r="Q62" s="27">
        <v>3.4</v>
      </c>
      <c r="R62" s="22">
        <v>5.5</v>
      </c>
      <c r="S62" s="26"/>
      <c r="T62" s="26">
        <v>866.9</v>
      </c>
      <c r="U62" s="26">
        <v>90.5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1675</v>
      </c>
      <c r="AG62" s="22">
        <f t="shared" si="15"/>
        <v>1848.5</v>
      </c>
    </row>
    <row r="63" spans="1:34" ht="15.75">
      <c r="A63" s="3" t="s">
        <v>5</v>
      </c>
      <c r="B63" s="22">
        <v>1169.5</v>
      </c>
      <c r="C63" s="22">
        <v>372.8</v>
      </c>
      <c r="D63" s="22"/>
      <c r="E63" s="22"/>
      <c r="F63" s="22"/>
      <c r="G63" s="22"/>
      <c r="H63" s="22"/>
      <c r="I63" s="22"/>
      <c r="J63" s="26"/>
      <c r="K63" s="22"/>
      <c r="L63" s="22"/>
      <c r="M63" s="22">
        <v>412</v>
      </c>
      <c r="N63" s="22"/>
      <c r="O63" s="27"/>
      <c r="P63" s="22"/>
      <c r="Q63" s="27"/>
      <c r="R63" s="22"/>
      <c r="S63" s="26"/>
      <c r="T63" s="26">
        <v>820.4</v>
      </c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1232.4</v>
      </c>
      <c r="AG63" s="22">
        <f t="shared" si="15"/>
        <v>309.89999999999986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26</v>
      </c>
      <c r="C65" s="22">
        <v>12.6</v>
      </c>
      <c r="D65" s="22"/>
      <c r="E65" s="22"/>
      <c r="F65" s="22"/>
      <c r="G65" s="22"/>
      <c r="H65" s="22"/>
      <c r="I65" s="22"/>
      <c r="J65" s="26">
        <v>17.9</v>
      </c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>
        <v>7.1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25</v>
      </c>
      <c r="AG65" s="22">
        <f t="shared" si="15"/>
        <v>13.600000000000001</v>
      </c>
      <c r="AH65" s="6"/>
    </row>
    <row r="66" spans="1:33" ht="15.75">
      <c r="A66" s="3" t="s">
        <v>2</v>
      </c>
      <c r="B66" s="22">
        <v>19.2</v>
      </c>
      <c r="C66" s="22">
        <v>197.1</v>
      </c>
      <c r="D66" s="22"/>
      <c r="E66" s="22"/>
      <c r="F66" s="22"/>
      <c r="G66" s="22"/>
      <c r="H66" s="22"/>
      <c r="I66" s="22"/>
      <c r="J66" s="26">
        <v>2.4</v>
      </c>
      <c r="K66" s="22"/>
      <c r="L66" s="22"/>
      <c r="M66" s="22"/>
      <c r="N66" s="22">
        <v>1.8</v>
      </c>
      <c r="O66" s="27">
        <v>3.7</v>
      </c>
      <c r="P66" s="22"/>
      <c r="Q66" s="22">
        <v>1.3</v>
      </c>
      <c r="R66" s="22">
        <v>4.5</v>
      </c>
      <c r="S66" s="26"/>
      <c r="T66" s="26"/>
      <c r="U66" s="26">
        <v>2.3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16</v>
      </c>
      <c r="AG66" s="22">
        <f t="shared" si="15"/>
        <v>200.29999999999998</v>
      </c>
    </row>
    <row r="67" spans="1:33" ht="15.75">
      <c r="A67" s="3" t="s">
        <v>17</v>
      </c>
      <c r="B67" s="22">
        <v>200</v>
      </c>
      <c r="C67" s="22">
        <v>0</v>
      </c>
      <c r="D67" s="22"/>
      <c r="E67" s="22">
        <v>40</v>
      </c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160</v>
      </c>
    </row>
    <row r="68" spans="1:33" ht="15.75">
      <c r="A68" s="3" t="s">
        <v>26</v>
      </c>
      <c r="B68" s="22">
        <f aca="true" t="shared" si="16" ref="B68:AD68">B62-B63-B66-B67-B65-B64</f>
        <v>1109.6000000000001</v>
      </c>
      <c r="C68" s="22">
        <f t="shared" si="16"/>
        <v>416.70000000000005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102.6</v>
      </c>
      <c r="K68" s="22">
        <f t="shared" si="16"/>
        <v>0</v>
      </c>
      <c r="L68" s="22">
        <f t="shared" si="16"/>
        <v>42.7</v>
      </c>
      <c r="M68" s="22">
        <f t="shared" si="16"/>
        <v>31</v>
      </c>
      <c r="N68" s="22">
        <f t="shared" si="16"/>
        <v>54.6</v>
      </c>
      <c r="O68" s="22">
        <f t="shared" si="16"/>
        <v>0</v>
      </c>
      <c r="P68" s="22">
        <f t="shared" si="16"/>
        <v>0</v>
      </c>
      <c r="Q68" s="22">
        <f t="shared" si="16"/>
        <v>2.0999999999999996</v>
      </c>
      <c r="R68" s="22">
        <f t="shared" si="16"/>
        <v>1</v>
      </c>
      <c r="S68" s="22">
        <f t="shared" si="16"/>
        <v>0</v>
      </c>
      <c r="T68" s="22">
        <f t="shared" si="16"/>
        <v>46.5</v>
      </c>
      <c r="U68" s="22">
        <f t="shared" si="16"/>
        <v>81.10000000000001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361.6</v>
      </c>
      <c r="AG68" s="22">
        <f>AG62-AG63-AG66-AG67-AG65-AG64</f>
        <v>1164.7000000000003</v>
      </c>
    </row>
    <row r="69" spans="1:33" ht="31.5">
      <c r="A69" s="4" t="s">
        <v>32</v>
      </c>
      <c r="B69" s="22">
        <v>1912.2</v>
      </c>
      <c r="C69" s="22">
        <v>1008.1</v>
      </c>
      <c r="D69" s="22"/>
      <c r="E69" s="22"/>
      <c r="F69" s="22"/>
      <c r="G69" s="22">
        <v>1146.6</v>
      </c>
      <c r="H69" s="22"/>
      <c r="I69" s="22">
        <v>5.2</v>
      </c>
      <c r="J69" s="26"/>
      <c r="K69" s="22"/>
      <c r="L69" s="22"/>
      <c r="M69" s="22"/>
      <c r="N69" s="22">
        <v>681</v>
      </c>
      <c r="O69" s="22">
        <v>29.9</v>
      </c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1862.7</v>
      </c>
      <c r="AG69" s="30">
        <f aca="true" t="shared" si="17" ref="AG69:AG92">B69+C69-AF69</f>
        <v>1057.6000000000001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784.2+2.6-14+0.1</f>
        <v>772.9000000000001</v>
      </c>
      <c r="C72" s="22">
        <v>1974.2</v>
      </c>
      <c r="D72" s="22"/>
      <c r="E72" s="22">
        <v>52</v>
      </c>
      <c r="F72" s="22">
        <v>26.1</v>
      </c>
      <c r="G72" s="22">
        <v>14.1</v>
      </c>
      <c r="H72" s="22"/>
      <c r="I72" s="22">
        <v>37.2</v>
      </c>
      <c r="J72" s="26">
        <v>6.5</v>
      </c>
      <c r="K72" s="22"/>
      <c r="L72" s="22">
        <v>45.7</v>
      </c>
      <c r="M72" s="22">
        <v>78.3</v>
      </c>
      <c r="N72" s="22">
        <v>5</v>
      </c>
      <c r="O72" s="22">
        <v>0.5</v>
      </c>
      <c r="P72" s="22"/>
      <c r="Q72" s="27">
        <v>10</v>
      </c>
      <c r="R72" s="22">
        <v>2.6</v>
      </c>
      <c r="S72" s="26">
        <v>22.4</v>
      </c>
      <c r="T72" s="26">
        <v>21.2</v>
      </c>
      <c r="U72" s="26">
        <v>9.1</v>
      </c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330.7</v>
      </c>
      <c r="AG72" s="30">
        <f t="shared" si="17"/>
        <v>2416.4000000000005</v>
      </c>
    </row>
    <row r="73" spans="1:33" ht="15" customHeight="1">
      <c r="A73" s="3" t="s">
        <v>5</v>
      </c>
      <c r="B73" s="22">
        <f>13.3+4.4</f>
        <v>17.700000000000003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17.7</v>
      </c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17.7</v>
      </c>
      <c r="AG73" s="30">
        <f t="shared" si="17"/>
        <v>0</v>
      </c>
    </row>
    <row r="74" spans="1:33" ht="15" customHeight="1">
      <c r="A74" s="3" t="s">
        <v>2</v>
      </c>
      <c r="B74" s="22">
        <v>50.9</v>
      </c>
      <c r="C74" s="22">
        <v>341.6</v>
      </c>
      <c r="D74" s="22"/>
      <c r="E74" s="22">
        <v>24.8</v>
      </c>
      <c r="F74" s="22"/>
      <c r="G74" s="22"/>
      <c r="H74" s="22"/>
      <c r="I74" s="22">
        <v>33</v>
      </c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>
        <v>0.2</v>
      </c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58</v>
      </c>
      <c r="AG74" s="30">
        <f t="shared" si="17"/>
        <v>334.5</v>
      </c>
    </row>
    <row r="75" spans="1:33" ht="15" customHeight="1">
      <c r="A75" s="3" t="s">
        <v>17</v>
      </c>
      <c r="B75" s="22">
        <f>77.2-14</f>
        <v>63.2</v>
      </c>
      <c r="C75" s="22">
        <v>297.7</v>
      </c>
      <c r="D75" s="22"/>
      <c r="E75" s="22"/>
      <c r="F75" s="22"/>
      <c r="G75" s="22"/>
      <c r="H75" s="22"/>
      <c r="I75" s="22"/>
      <c r="J75" s="26"/>
      <c r="K75" s="22"/>
      <c r="L75" s="22"/>
      <c r="M75" s="22">
        <v>70.7</v>
      </c>
      <c r="N75" s="22"/>
      <c r="O75" s="22"/>
      <c r="P75" s="22"/>
      <c r="Q75" s="27"/>
      <c r="R75" s="22"/>
      <c r="S75" s="26">
        <v>4.7</v>
      </c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75.4</v>
      </c>
      <c r="AG75" s="30">
        <f t="shared" si="17"/>
        <v>285.5</v>
      </c>
    </row>
    <row r="76" spans="1:33" s="11" customFormat="1" ht="31.5">
      <c r="A76" s="12" t="s">
        <v>21</v>
      </c>
      <c r="B76" s="22">
        <v>210.8</v>
      </c>
      <c r="C76" s="22">
        <v>503.8</v>
      </c>
      <c r="D76" s="22"/>
      <c r="E76" s="28"/>
      <c r="F76" s="28"/>
      <c r="G76" s="28">
        <v>26.8</v>
      </c>
      <c r="H76" s="28"/>
      <c r="I76" s="28"/>
      <c r="J76" s="29">
        <v>46.9</v>
      </c>
      <c r="K76" s="28"/>
      <c r="L76" s="28"/>
      <c r="M76" s="28"/>
      <c r="N76" s="28"/>
      <c r="O76" s="28"/>
      <c r="P76" s="28"/>
      <c r="Q76" s="31"/>
      <c r="R76" s="28"/>
      <c r="S76" s="29"/>
      <c r="T76" s="29"/>
      <c r="U76" s="28">
        <v>38.1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111.80000000000001</v>
      </c>
      <c r="AG76" s="30">
        <f t="shared" si="17"/>
        <v>602.8</v>
      </c>
    </row>
    <row r="77" spans="1:33" s="11" customFormat="1" ht="15.75">
      <c r="A77" s="3" t="s">
        <v>5</v>
      </c>
      <c r="B77" s="22">
        <v>70.7</v>
      </c>
      <c r="C77" s="22">
        <v>0.3</v>
      </c>
      <c r="D77" s="22"/>
      <c r="E77" s="28"/>
      <c r="F77" s="28"/>
      <c r="G77" s="28">
        <v>8.9</v>
      </c>
      <c r="H77" s="28"/>
      <c r="I77" s="28"/>
      <c r="J77" s="29">
        <v>24.2</v>
      </c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>
        <v>37.9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71</v>
      </c>
      <c r="AG77" s="30">
        <f t="shared" si="17"/>
        <v>0</v>
      </c>
    </row>
    <row r="78" spans="1:33" s="11" customFormat="1" ht="15.75">
      <c r="A78" s="3" t="s">
        <v>3</v>
      </c>
      <c r="B78" s="22">
        <v>0</v>
      </c>
      <c r="C78" s="22">
        <v>80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80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2.2</v>
      </c>
      <c r="D80" s="22"/>
      <c r="E80" s="28"/>
      <c r="F80" s="28"/>
      <c r="G80" s="28">
        <v>0.3</v>
      </c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2.2</v>
      </c>
    </row>
    <row r="81" spans="1:33" s="11" customFormat="1" ht="15.75">
      <c r="A81" s="12" t="s">
        <v>36</v>
      </c>
      <c r="B81" s="22">
        <v>63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83.7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5516.1</v>
      </c>
      <c r="C89" s="22">
        <v>6384</v>
      </c>
      <c r="D89" s="22"/>
      <c r="E89" s="22">
        <v>189.7</v>
      </c>
      <c r="F89" s="22">
        <v>763.7</v>
      </c>
      <c r="G89" s="22">
        <v>106.1</v>
      </c>
      <c r="H89" s="22"/>
      <c r="I89" s="22">
        <v>275.6</v>
      </c>
      <c r="J89" s="22">
        <v>3020.5</v>
      </c>
      <c r="K89" s="22">
        <v>51.8</v>
      </c>
      <c r="L89" s="22"/>
      <c r="M89" s="22"/>
      <c r="N89" s="22">
        <v>369.9</v>
      </c>
      <c r="O89" s="22">
        <v>152.3</v>
      </c>
      <c r="P89" s="22"/>
      <c r="Q89" s="22"/>
      <c r="R89" s="22"/>
      <c r="S89" s="26"/>
      <c r="T89" s="26">
        <v>1900.1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6829.700000000001</v>
      </c>
      <c r="AG89" s="22">
        <f t="shared" si="17"/>
        <v>5070.4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>
        <v>805.6</v>
      </c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0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32691.8+48.3+2258.2</f>
        <v>34998.299999999996</v>
      </c>
      <c r="C92" s="22">
        <v>8197.8</v>
      </c>
      <c r="D92" s="22">
        <v>5278.7</v>
      </c>
      <c r="E92" s="22">
        <v>2003.9</v>
      </c>
      <c r="F92" s="22">
        <v>49.6</v>
      </c>
      <c r="G92" s="22">
        <v>345.1</v>
      </c>
      <c r="H92" s="22">
        <v>3306.6</v>
      </c>
      <c r="I92" s="22">
        <v>4469.6</v>
      </c>
      <c r="J92" s="22"/>
      <c r="K92" s="22"/>
      <c r="L92" s="22"/>
      <c r="M92" s="22"/>
      <c r="N92" s="22"/>
      <c r="O92" s="22">
        <v>5409.1</v>
      </c>
      <c r="P92" s="22">
        <v>3675.7</v>
      </c>
      <c r="Q92" s="22">
        <v>2737.2</v>
      </c>
      <c r="R92" s="22">
        <v>2197.2</v>
      </c>
      <c r="S92" s="26"/>
      <c r="T92" s="26"/>
      <c r="U92" s="22">
        <v>4047.6</v>
      </c>
      <c r="V92" s="22">
        <v>9675.8</v>
      </c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43196.100000000006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143611.1</v>
      </c>
      <c r="C94" s="42">
        <f t="shared" si="18"/>
        <v>56449.29999999999</v>
      </c>
      <c r="D94" s="42">
        <f t="shared" si="18"/>
        <v>5774</v>
      </c>
      <c r="E94" s="42">
        <f t="shared" si="18"/>
        <v>6298.1</v>
      </c>
      <c r="F94" s="42">
        <f t="shared" si="18"/>
        <v>1555</v>
      </c>
      <c r="G94" s="42">
        <f t="shared" si="18"/>
        <v>2755.2000000000003</v>
      </c>
      <c r="H94" s="42">
        <f t="shared" si="18"/>
        <v>3618.9</v>
      </c>
      <c r="I94" s="42">
        <f t="shared" si="18"/>
        <v>14239.100000000002</v>
      </c>
      <c r="J94" s="42">
        <f t="shared" si="18"/>
        <v>3510.2</v>
      </c>
      <c r="K94" s="42">
        <f t="shared" si="18"/>
        <v>1052.6</v>
      </c>
      <c r="L94" s="42">
        <f t="shared" si="18"/>
        <v>20600.100000000002</v>
      </c>
      <c r="M94" s="42">
        <f t="shared" si="18"/>
        <v>16534.8</v>
      </c>
      <c r="N94" s="42">
        <f t="shared" si="18"/>
        <v>2099.6</v>
      </c>
      <c r="O94" s="42">
        <f t="shared" si="18"/>
        <v>6461.6</v>
      </c>
      <c r="P94" s="42">
        <f t="shared" si="18"/>
        <v>4361.799999999999</v>
      </c>
      <c r="Q94" s="42">
        <f t="shared" si="18"/>
        <v>4702.2</v>
      </c>
      <c r="R94" s="42">
        <f t="shared" si="18"/>
        <v>3709.2999999999997</v>
      </c>
      <c r="S94" s="42">
        <f t="shared" si="18"/>
        <v>11291.599999999999</v>
      </c>
      <c r="T94" s="42">
        <f t="shared" si="18"/>
        <v>22515.100000000002</v>
      </c>
      <c r="U94" s="42">
        <f t="shared" si="18"/>
        <v>11603.8</v>
      </c>
      <c r="V94" s="42">
        <f t="shared" si="18"/>
        <v>10503.8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153186.8</v>
      </c>
      <c r="AG94" s="58">
        <f>AG10+AG15+AG24+AG33+AG47+AG52+AG54+AG61+AG62+AG69+AG71+AG72+AG76+AG81+AG82+AG83+AG88+AG89+AG90+AG91+AG70+AG40+AG92</f>
        <v>46873.60000000001</v>
      </c>
    </row>
    <row r="95" spans="1:33" ht="15.75">
      <c r="A95" s="3" t="s">
        <v>5</v>
      </c>
      <c r="B95" s="22">
        <f aca="true" t="shared" si="19" ref="B95:AD95">B11+B17+B26+B34+B55+B63+B73+B41+B77+B48</f>
        <v>77827.99999999999</v>
      </c>
      <c r="C95" s="22">
        <f t="shared" si="19"/>
        <v>4900.700000000001</v>
      </c>
      <c r="D95" s="22">
        <f t="shared" si="19"/>
        <v>0</v>
      </c>
      <c r="E95" s="22">
        <f t="shared" si="19"/>
        <v>1330.2</v>
      </c>
      <c r="F95" s="22">
        <f t="shared" si="19"/>
        <v>0</v>
      </c>
      <c r="G95" s="22">
        <f t="shared" si="19"/>
        <v>40.6</v>
      </c>
      <c r="H95" s="22">
        <f t="shared" si="19"/>
        <v>18.9</v>
      </c>
      <c r="I95" s="22">
        <f t="shared" si="19"/>
        <v>7746</v>
      </c>
      <c r="J95" s="22">
        <f t="shared" si="19"/>
        <v>25</v>
      </c>
      <c r="K95" s="22">
        <f t="shared" si="19"/>
        <v>0</v>
      </c>
      <c r="L95" s="22">
        <f t="shared" si="19"/>
        <v>18860.3</v>
      </c>
      <c r="M95" s="22">
        <f t="shared" si="19"/>
        <v>15242.9</v>
      </c>
      <c r="N95" s="22">
        <f t="shared" si="19"/>
        <v>13</v>
      </c>
      <c r="O95" s="22">
        <f t="shared" si="19"/>
        <v>0</v>
      </c>
      <c r="P95" s="22">
        <f t="shared" si="19"/>
        <v>15</v>
      </c>
      <c r="Q95" s="22">
        <f t="shared" si="19"/>
        <v>0</v>
      </c>
      <c r="R95" s="22">
        <f t="shared" si="19"/>
        <v>13.5</v>
      </c>
      <c r="S95" s="22">
        <f t="shared" si="19"/>
        <v>10996</v>
      </c>
      <c r="T95" s="22">
        <f t="shared" si="19"/>
        <v>19007.700000000004</v>
      </c>
      <c r="U95" s="22">
        <f t="shared" si="19"/>
        <v>5923.5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79232.6</v>
      </c>
      <c r="AG95" s="27">
        <f>B95+C95-AF95</f>
        <v>3496.0999999999767</v>
      </c>
    </row>
    <row r="96" spans="1:33" ht="15.75">
      <c r="A96" s="3" t="s">
        <v>2</v>
      </c>
      <c r="B96" s="22">
        <f aca="true" t="shared" si="20" ref="B96:AD96">B12+B20+B29+B36+B57+B66+B44+B80+B74+B53</f>
        <v>1187.9</v>
      </c>
      <c r="C96" s="22">
        <f t="shared" si="20"/>
        <v>10699</v>
      </c>
      <c r="D96" s="22">
        <f t="shared" si="20"/>
        <v>64.8</v>
      </c>
      <c r="E96" s="22">
        <f t="shared" si="20"/>
        <v>102.60000000000001</v>
      </c>
      <c r="F96" s="22">
        <f t="shared" si="20"/>
        <v>39.4</v>
      </c>
      <c r="G96" s="22">
        <f t="shared" si="20"/>
        <v>239.70000000000002</v>
      </c>
      <c r="H96" s="22">
        <f t="shared" si="20"/>
        <v>0.6</v>
      </c>
      <c r="I96" s="22">
        <f t="shared" si="20"/>
        <v>943.1</v>
      </c>
      <c r="J96" s="22">
        <f t="shared" si="20"/>
        <v>19.599999999999998</v>
      </c>
      <c r="K96" s="22">
        <f t="shared" si="20"/>
        <v>38</v>
      </c>
      <c r="L96" s="22">
        <f t="shared" si="20"/>
        <v>416</v>
      </c>
      <c r="M96" s="22">
        <f t="shared" si="20"/>
        <v>21.2</v>
      </c>
      <c r="N96" s="22">
        <f t="shared" si="20"/>
        <v>109</v>
      </c>
      <c r="O96" s="22">
        <f t="shared" si="20"/>
        <v>4.4</v>
      </c>
      <c r="P96" s="22">
        <f t="shared" si="20"/>
        <v>146.1</v>
      </c>
      <c r="Q96" s="22">
        <f t="shared" si="20"/>
        <v>283.6</v>
      </c>
      <c r="R96" s="22">
        <f t="shared" si="20"/>
        <v>160.5</v>
      </c>
      <c r="S96" s="22">
        <f t="shared" si="20"/>
        <v>2</v>
      </c>
      <c r="T96" s="22">
        <f t="shared" si="20"/>
        <v>432.4</v>
      </c>
      <c r="U96" s="22">
        <f t="shared" si="20"/>
        <v>34.4</v>
      </c>
      <c r="V96" s="22">
        <f t="shared" si="20"/>
        <v>4.8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3062.2000000000003</v>
      </c>
      <c r="AG96" s="27">
        <f>B96+C96-AF96</f>
        <v>8824.699999999999</v>
      </c>
    </row>
    <row r="97" spans="1:33" ht="15.75">
      <c r="A97" s="3" t="s">
        <v>3</v>
      </c>
      <c r="B97" s="22">
        <f aca="true" t="shared" si="21" ref="B97:AA97">B18+B27+B42+B64+B78</f>
        <v>1569.3</v>
      </c>
      <c r="C97" s="22">
        <f t="shared" si="21"/>
        <v>2742.2000000000003</v>
      </c>
      <c r="D97" s="22">
        <f t="shared" si="21"/>
        <v>0</v>
      </c>
      <c r="E97" s="22">
        <f t="shared" si="21"/>
        <v>0</v>
      </c>
      <c r="F97" s="22">
        <f t="shared" si="21"/>
        <v>0.6</v>
      </c>
      <c r="G97" s="22">
        <f t="shared" si="21"/>
        <v>0</v>
      </c>
      <c r="H97" s="22">
        <f t="shared" si="21"/>
        <v>0</v>
      </c>
      <c r="I97" s="22">
        <f t="shared" si="21"/>
        <v>385.5</v>
      </c>
      <c r="J97" s="22">
        <f t="shared" si="21"/>
        <v>30</v>
      </c>
      <c r="K97" s="22">
        <f t="shared" si="21"/>
        <v>0</v>
      </c>
      <c r="L97" s="22">
        <f t="shared" si="21"/>
        <v>0</v>
      </c>
      <c r="M97" s="22">
        <f t="shared" si="21"/>
        <v>578.3</v>
      </c>
      <c r="N97" s="22">
        <f t="shared" si="21"/>
        <v>0</v>
      </c>
      <c r="O97" s="22">
        <f t="shared" si="21"/>
        <v>0</v>
      </c>
      <c r="P97" s="22">
        <f t="shared" si="21"/>
        <v>1.5</v>
      </c>
      <c r="Q97" s="22">
        <f t="shared" si="21"/>
        <v>388.2</v>
      </c>
      <c r="R97" s="22">
        <f t="shared" si="21"/>
        <v>197.1</v>
      </c>
      <c r="S97" s="22">
        <f t="shared" si="21"/>
        <v>2.6</v>
      </c>
      <c r="T97" s="22">
        <f t="shared" si="21"/>
        <v>71</v>
      </c>
      <c r="U97" s="22">
        <f t="shared" si="21"/>
        <v>4.6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1659.3999999999996</v>
      </c>
      <c r="AG97" s="27">
        <f>B97+C97-AF97</f>
        <v>2652.1000000000004</v>
      </c>
    </row>
    <row r="98" spans="1:33" ht="15.75">
      <c r="A98" s="3" t="s">
        <v>1</v>
      </c>
      <c r="B98" s="22">
        <f aca="true" t="shared" si="22" ref="B98:AD98">B19+B28+B65+B35+B43+B56+B79</f>
        <v>1007.3000000000002</v>
      </c>
      <c r="C98" s="22">
        <f t="shared" si="22"/>
        <v>4300.799999999999</v>
      </c>
      <c r="D98" s="22">
        <f t="shared" si="22"/>
        <v>0</v>
      </c>
      <c r="E98" s="22">
        <f t="shared" si="22"/>
        <v>33.2</v>
      </c>
      <c r="F98" s="22">
        <f t="shared" si="22"/>
        <v>10.5</v>
      </c>
      <c r="G98" s="22">
        <f t="shared" si="22"/>
        <v>429.9</v>
      </c>
      <c r="H98" s="22">
        <f t="shared" si="22"/>
        <v>102.7</v>
      </c>
      <c r="I98" s="22">
        <f t="shared" si="22"/>
        <v>39.2</v>
      </c>
      <c r="J98" s="22">
        <f t="shared" si="22"/>
        <v>17.9</v>
      </c>
      <c r="K98" s="22">
        <f t="shared" si="22"/>
        <v>108.5</v>
      </c>
      <c r="L98" s="22">
        <f t="shared" si="22"/>
        <v>0</v>
      </c>
      <c r="M98" s="22">
        <f t="shared" si="22"/>
        <v>280.4</v>
      </c>
      <c r="N98" s="22">
        <f t="shared" si="22"/>
        <v>7.4</v>
      </c>
      <c r="O98" s="22">
        <f t="shared" si="22"/>
        <v>115.2</v>
      </c>
      <c r="P98" s="22">
        <f t="shared" si="22"/>
        <v>99.7</v>
      </c>
      <c r="Q98" s="22">
        <f t="shared" si="22"/>
        <v>64.9</v>
      </c>
      <c r="R98" s="22">
        <f t="shared" si="22"/>
        <v>149.29999999999998</v>
      </c>
      <c r="S98" s="22">
        <f t="shared" si="22"/>
        <v>28</v>
      </c>
      <c r="T98" s="22">
        <f t="shared" si="22"/>
        <v>207.6</v>
      </c>
      <c r="U98" s="22">
        <f t="shared" si="22"/>
        <v>21.6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1716</v>
      </c>
      <c r="AG98" s="27">
        <f>B98+C98-AF98</f>
        <v>3592.0999999999995</v>
      </c>
    </row>
    <row r="99" spans="1:33" ht="15.75">
      <c r="A99" s="3" t="s">
        <v>17</v>
      </c>
      <c r="B99" s="22">
        <f>B21+B30+B49+B37+B58+B13+B75+B67</f>
        <v>3804.5</v>
      </c>
      <c r="C99" s="22">
        <f>C21+C30+C49+C37+C58+C13+C75+C67</f>
        <v>1354.3</v>
      </c>
      <c r="D99" s="22">
        <f>D21+D30+D49+D37+D58+D13+D75+D67</f>
        <v>0</v>
      </c>
      <c r="E99" s="22">
        <f aca="true" t="shared" si="23" ref="E99:X99">E21+E30+E49+E37+E58+E13+E75+E67</f>
        <v>76.2</v>
      </c>
      <c r="F99" s="22">
        <f t="shared" si="23"/>
        <v>79.7</v>
      </c>
      <c r="G99" s="22">
        <f t="shared" si="23"/>
        <v>3.8</v>
      </c>
      <c r="H99" s="22">
        <f t="shared" si="23"/>
        <v>162.29999999999998</v>
      </c>
      <c r="I99" s="22">
        <f t="shared" si="23"/>
        <v>84.5</v>
      </c>
      <c r="J99" s="22">
        <f t="shared" si="23"/>
        <v>165.7</v>
      </c>
      <c r="K99" s="22">
        <f t="shared" si="23"/>
        <v>0</v>
      </c>
      <c r="L99" s="22">
        <f t="shared" si="23"/>
        <v>521.8</v>
      </c>
      <c r="M99" s="22">
        <f t="shared" si="23"/>
        <v>99.9</v>
      </c>
      <c r="N99" s="22">
        <f t="shared" si="23"/>
        <v>187.3</v>
      </c>
      <c r="O99" s="22">
        <f t="shared" si="23"/>
        <v>251.1</v>
      </c>
      <c r="P99" s="22">
        <f t="shared" si="23"/>
        <v>0</v>
      </c>
      <c r="Q99" s="22">
        <f t="shared" si="23"/>
        <v>95.5</v>
      </c>
      <c r="R99" s="22">
        <f t="shared" si="23"/>
        <v>254.3</v>
      </c>
      <c r="S99" s="22">
        <f t="shared" si="23"/>
        <v>142.1</v>
      </c>
      <c r="T99" s="22">
        <f t="shared" si="23"/>
        <v>126.8</v>
      </c>
      <c r="U99" s="22">
        <f t="shared" si="23"/>
        <v>28.2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2279.2</v>
      </c>
      <c r="AG99" s="27">
        <f>B99+C99-AF99</f>
        <v>2879.6000000000004</v>
      </c>
    </row>
    <row r="100" spans="1:33" ht="12.75">
      <c r="A100" s="1" t="s">
        <v>41</v>
      </c>
      <c r="B100" s="2">
        <f aca="true" t="shared" si="25" ref="B100:AD100">B94-B95-B96-B97-B98-B99</f>
        <v>58214.10000000001</v>
      </c>
      <c r="C100" s="2">
        <f t="shared" si="25"/>
        <v>32452.299999999992</v>
      </c>
      <c r="D100" s="2">
        <f t="shared" si="25"/>
        <v>5709.2</v>
      </c>
      <c r="E100" s="2">
        <f t="shared" si="25"/>
        <v>4755.900000000001</v>
      </c>
      <c r="F100" s="2">
        <f t="shared" si="25"/>
        <v>1424.8</v>
      </c>
      <c r="G100" s="2">
        <f t="shared" si="25"/>
        <v>2041.2000000000005</v>
      </c>
      <c r="H100" s="2">
        <f t="shared" si="25"/>
        <v>3334.4</v>
      </c>
      <c r="I100" s="2">
        <f t="shared" si="25"/>
        <v>5040.800000000002</v>
      </c>
      <c r="J100" s="2">
        <f t="shared" si="25"/>
        <v>3252</v>
      </c>
      <c r="K100" s="2">
        <f t="shared" si="25"/>
        <v>906.0999999999999</v>
      </c>
      <c r="L100" s="2">
        <f t="shared" si="25"/>
        <v>802.000000000003</v>
      </c>
      <c r="M100" s="2">
        <f t="shared" si="25"/>
        <v>312.0999999999997</v>
      </c>
      <c r="N100" s="2">
        <f t="shared" si="25"/>
        <v>1782.8999999999999</v>
      </c>
      <c r="O100" s="2">
        <f t="shared" si="25"/>
        <v>6090.900000000001</v>
      </c>
      <c r="P100" s="2">
        <f t="shared" si="25"/>
        <v>4099.499999999999</v>
      </c>
      <c r="Q100" s="2">
        <f t="shared" si="25"/>
        <v>3869.9999999999995</v>
      </c>
      <c r="R100" s="2">
        <f t="shared" si="25"/>
        <v>2934.5999999999995</v>
      </c>
      <c r="S100" s="2">
        <f t="shared" si="25"/>
        <v>120.89999999999853</v>
      </c>
      <c r="T100" s="2">
        <f t="shared" si="25"/>
        <v>2669.5999999999976</v>
      </c>
      <c r="U100" s="2">
        <f t="shared" si="25"/>
        <v>5591.499999999999</v>
      </c>
      <c r="V100" s="2">
        <f t="shared" si="25"/>
        <v>10499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65237.399999999994</v>
      </c>
      <c r="AG100" s="2">
        <f>AG94-AG95-AG96-AG97-AG98-AG99</f>
        <v>25429.000000000044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workbookViewId="0" topLeftCell="A1">
      <pane xSplit="3" ySplit="9" topLeftCell="D4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54" sqref="B5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64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65</v>
      </c>
      <c r="C4" s="9" t="s">
        <v>19</v>
      </c>
      <c r="D4" s="9">
        <v>1</v>
      </c>
      <c r="E4" s="8">
        <v>2</v>
      </c>
      <c r="F4" s="8">
        <v>4</v>
      </c>
      <c r="G4" s="8">
        <v>5</v>
      </c>
      <c r="H4" s="8">
        <v>6</v>
      </c>
      <c r="I4" s="8">
        <v>7</v>
      </c>
      <c r="J4" s="19">
        <v>8</v>
      </c>
      <c r="K4" s="8">
        <v>11</v>
      </c>
      <c r="L4" s="8">
        <v>12</v>
      </c>
      <c r="M4" s="8">
        <v>13</v>
      </c>
      <c r="N4" s="8">
        <v>14</v>
      </c>
      <c r="O4" s="8">
        <v>15</v>
      </c>
      <c r="P4" s="8">
        <v>18</v>
      </c>
      <c r="Q4" s="8">
        <v>19</v>
      </c>
      <c r="R4" s="8">
        <v>20</v>
      </c>
      <c r="S4" s="19">
        <v>21</v>
      </c>
      <c r="T4" s="19">
        <v>22</v>
      </c>
      <c r="U4" s="8">
        <v>25</v>
      </c>
      <c r="V4" s="8">
        <v>26</v>
      </c>
      <c r="W4" s="8">
        <v>27</v>
      </c>
      <c r="X4" s="19">
        <v>28</v>
      </c>
      <c r="Y4" s="19">
        <v>29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/>
      <c r="F5" s="46"/>
      <c r="G5" s="46"/>
      <c r="H5" s="46"/>
      <c r="I5" s="46">
        <v>907</v>
      </c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30409.1</v>
      </c>
      <c r="C7" s="72">
        <v>6998.1</v>
      </c>
      <c r="D7" s="45"/>
      <c r="E7" s="46">
        <v>15204.6</v>
      </c>
      <c r="F7" s="46"/>
      <c r="G7" s="46"/>
      <c r="H7" s="74"/>
      <c r="I7" s="46"/>
      <c r="J7" s="47"/>
      <c r="K7" s="46"/>
      <c r="L7" s="46">
        <v>15204.5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54253.8</v>
      </c>
      <c r="C8" s="40">
        <v>113789.5</v>
      </c>
      <c r="D8" s="43">
        <v>27978.6</v>
      </c>
      <c r="E8" s="55">
        <v>846.4</v>
      </c>
      <c r="F8" s="55">
        <v>506.7</v>
      </c>
      <c r="G8" s="55">
        <v>408.3</v>
      </c>
      <c r="H8" s="55">
        <v>292.3</v>
      </c>
      <c r="I8" s="55">
        <v>173.8</v>
      </c>
      <c r="J8" s="56">
        <v>5034.9</v>
      </c>
      <c r="K8" s="55">
        <v>2306.4</v>
      </c>
      <c r="L8" s="55">
        <v>1860.1</v>
      </c>
      <c r="M8" s="55">
        <v>1980.1</v>
      </c>
      <c r="N8" s="55">
        <v>2409.9</v>
      </c>
      <c r="O8" s="55">
        <v>4002.8</v>
      </c>
      <c r="P8" s="55">
        <v>6453.5</v>
      </c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149822.5</v>
      </c>
      <c r="C9" s="24">
        <f t="shared" si="0"/>
        <v>46751.6</v>
      </c>
      <c r="D9" s="24">
        <f t="shared" si="0"/>
        <v>16009.4</v>
      </c>
      <c r="E9" s="24">
        <f t="shared" si="0"/>
        <v>13411.2</v>
      </c>
      <c r="F9" s="24">
        <f t="shared" si="0"/>
        <v>542.1</v>
      </c>
      <c r="G9" s="24">
        <f t="shared" si="0"/>
        <v>791.9999999999998</v>
      </c>
      <c r="H9" s="24">
        <f t="shared" si="0"/>
        <v>292.3</v>
      </c>
      <c r="I9" s="24">
        <f t="shared" si="0"/>
        <v>2718.5</v>
      </c>
      <c r="J9" s="24">
        <f t="shared" si="0"/>
        <v>4986.4</v>
      </c>
      <c r="K9" s="24">
        <f t="shared" si="0"/>
        <v>2439.9</v>
      </c>
      <c r="L9" s="24">
        <f t="shared" si="0"/>
        <v>7649.3</v>
      </c>
      <c r="M9" s="24">
        <f t="shared" si="0"/>
        <v>11385.799999999997</v>
      </c>
      <c r="N9" s="24">
        <f t="shared" si="0"/>
        <v>2414.2</v>
      </c>
      <c r="O9" s="24">
        <f t="shared" si="0"/>
        <v>4075.2</v>
      </c>
      <c r="P9" s="24">
        <f t="shared" si="0"/>
        <v>6454.5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73170.8</v>
      </c>
      <c r="AG9" s="50">
        <f>AG10+AG15+AG24+AG33+AG47+AG52+AG54+AG61+AG62+AG71+AG72+AG76+AG88+AG81+AG83+AG82+AG69+AG89+AG91+AG90+AG70+AG40+AG92</f>
        <v>123403.29999999999</v>
      </c>
      <c r="AH9" s="49"/>
      <c r="AI9" s="49"/>
    </row>
    <row r="10" spans="1:33" ht="15.75">
      <c r="A10" s="4" t="s">
        <v>4</v>
      </c>
      <c r="B10" s="22">
        <v>4751.1</v>
      </c>
      <c r="C10" s="22">
        <v>3561.3</v>
      </c>
      <c r="D10" s="22">
        <v>62.6</v>
      </c>
      <c r="E10" s="22">
        <v>74.1</v>
      </c>
      <c r="F10" s="22">
        <v>335.3</v>
      </c>
      <c r="G10" s="22">
        <v>57.9</v>
      </c>
      <c r="H10" s="22">
        <v>3.2</v>
      </c>
      <c r="I10" s="22">
        <v>16.1</v>
      </c>
      <c r="J10" s="25">
        <v>45.5</v>
      </c>
      <c r="K10" s="22">
        <v>127.9</v>
      </c>
      <c r="L10" s="22">
        <v>241.6</v>
      </c>
      <c r="M10" s="22">
        <v>813.9</v>
      </c>
      <c r="N10" s="22">
        <v>349.3</v>
      </c>
      <c r="O10" s="27">
        <v>10.7</v>
      </c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2138.1</v>
      </c>
      <c r="AG10" s="27">
        <f>B10+C10-AF10</f>
        <v>6174.300000000001</v>
      </c>
    </row>
    <row r="11" spans="1:33" ht="15.75">
      <c r="A11" s="3" t="s">
        <v>5</v>
      </c>
      <c r="B11" s="22">
        <v>4106.5</v>
      </c>
      <c r="C11" s="22">
        <v>2470.4</v>
      </c>
      <c r="D11" s="22">
        <v>62.6</v>
      </c>
      <c r="E11" s="22">
        <v>34.5</v>
      </c>
      <c r="F11" s="22">
        <v>228.2</v>
      </c>
      <c r="G11" s="22">
        <v>21.5</v>
      </c>
      <c r="H11" s="22">
        <v>3.2</v>
      </c>
      <c r="I11" s="22"/>
      <c r="J11" s="26">
        <v>28.5</v>
      </c>
      <c r="K11" s="22">
        <v>112.4</v>
      </c>
      <c r="L11" s="22">
        <v>240</v>
      </c>
      <c r="M11" s="22">
        <v>809.2</v>
      </c>
      <c r="N11" s="22">
        <v>334.5</v>
      </c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1874.6</v>
      </c>
      <c r="AG11" s="27">
        <f>B11+C11-AF11</f>
        <v>4702.299999999999</v>
      </c>
    </row>
    <row r="12" spans="1:33" ht="15.75">
      <c r="A12" s="3" t="s">
        <v>2</v>
      </c>
      <c r="B12" s="36">
        <v>76</v>
      </c>
      <c r="C12" s="22">
        <v>178.5</v>
      </c>
      <c r="D12" s="22"/>
      <c r="E12" s="22">
        <v>31.6</v>
      </c>
      <c r="F12" s="22"/>
      <c r="G12" s="22">
        <v>20.6</v>
      </c>
      <c r="H12" s="22"/>
      <c r="I12" s="22">
        <v>1</v>
      </c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53.2</v>
      </c>
      <c r="AG12" s="27">
        <f>B12+C12-AF12</f>
        <v>201.3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568.6000000000004</v>
      </c>
      <c r="C14" s="22">
        <f t="shared" si="2"/>
        <v>912.4000000000001</v>
      </c>
      <c r="D14" s="22">
        <f t="shared" si="2"/>
        <v>0</v>
      </c>
      <c r="E14" s="22">
        <f t="shared" si="2"/>
        <v>7.999999999999993</v>
      </c>
      <c r="F14" s="22">
        <f t="shared" si="2"/>
        <v>107.10000000000002</v>
      </c>
      <c r="G14" s="22">
        <f t="shared" si="2"/>
        <v>15.799999999999997</v>
      </c>
      <c r="H14" s="22">
        <f t="shared" si="2"/>
        <v>0</v>
      </c>
      <c r="I14" s="22">
        <f t="shared" si="2"/>
        <v>15.100000000000001</v>
      </c>
      <c r="J14" s="22">
        <f t="shared" si="2"/>
        <v>17</v>
      </c>
      <c r="K14" s="22">
        <f t="shared" si="2"/>
        <v>15.5</v>
      </c>
      <c r="L14" s="22">
        <f t="shared" si="2"/>
        <v>1.5999999999999943</v>
      </c>
      <c r="M14" s="22">
        <f t="shared" si="2"/>
        <v>4.699999999999932</v>
      </c>
      <c r="N14" s="22">
        <f t="shared" si="2"/>
        <v>14.800000000000011</v>
      </c>
      <c r="O14" s="22">
        <f t="shared" si="2"/>
        <v>10.7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210.29999999999995</v>
      </c>
      <c r="AG14" s="27">
        <f>AG10-AG11-AG12-AG13</f>
        <v>1270.7000000000019</v>
      </c>
    </row>
    <row r="15" spans="1:33" ht="15" customHeight="1">
      <c r="A15" s="4" t="s">
        <v>6</v>
      </c>
      <c r="B15" s="22">
        <v>27292.9</v>
      </c>
      <c r="C15" s="22">
        <v>12596.9</v>
      </c>
      <c r="D15" s="44"/>
      <c r="E15" s="44">
        <v>1223.2</v>
      </c>
      <c r="F15" s="22">
        <v>110.3</v>
      </c>
      <c r="G15" s="22">
        <v>60.6</v>
      </c>
      <c r="H15" s="22"/>
      <c r="I15" s="22">
        <v>283.6</v>
      </c>
      <c r="J15" s="26">
        <v>0.7</v>
      </c>
      <c r="K15" s="22">
        <v>333.3</v>
      </c>
      <c r="L15" s="22">
        <v>1860.9</v>
      </c>
      <c r="M15" s="22">
        <v>4481.8</v>
      </c>
      <c r="N15" s="22">
        <v>357.9</v>
      </c>
      <c r="O15" s="27">
        <v>530.4</v>
      </c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9242.699999999999</v>
      </c>
      <c r="AG15" s="27">
        <f aca="true" t="shared" si="3" ref="AG15:AG31">B15+C15-AF15</f>
        <v>30647.100000000006</v>
      </c>
    </row>
    <row r="16" spans="1:34" s="70" customFormat="1" ht="15" customHeight="1">
      <c r="A16" s="65" t="s">
        <v>46</v>
      </c>
      <c r="B16" s="66">
        <v>14490.1</v>
      </c>
      <c r="C16" s="66">
        <v>1726.9</v>
      </c>
      <c r="D16" s="67"/>
      <c r="E16" s="67">
        <v>29.1</v>
      </c>
      <c r="F16" s="66">
        <v>10</v>
      </c>
      <c r="G16" s="66"/>
      <c r="H16" s="66"/>
      <c r="I16" s="66"/>
      <c r="J16" s="68"/>
      <c r="K16" s="66">
        <v>85</v>
      </c>
      <c r="L16" s="66">
        <v>1344.7</v>
      </c>
      <c r="M16" s="66"/>
      <c r="N16" s="66">
        <v>5.3</v>
      </c>
      <c r="O16" s="69">
        <v>72.4</v>
      </c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1546.5</v>
      </c>
      <c r="AG16" s="71">
        <f t="shared" si="3"/>
        <v>14670.5</v>
      </c>
      <c r="AH16" s="75"/>
    </row>
    <row r="17" spans="1:34" ht="15.75">
      <c r="A17" s="3" t="s">
        <v>5</v>
      </c>
      <c r="B17" s="22">
        <v>14266.5</v>
      </c>
      <c r="C17" s="22">
        <v>375.1</v>
      </c>
      <c r="D17" s="22"/>
      <c r="E17" s="22">
        <v>978.2</v>
      </c>
      <c r="F17" s="22"/>
      <c r="G17" s="22">
        <v>60.6</v>
      </c>
      <c r="H17" s="22"/>
      <c r="I17" s="22"/>
      <c r="J17" s="26"/>
      <c r="K17" s="22"/>
      <c r="L17" s="22">
        <v>1860.9</v>
      </c>
      <c r="M17" s="22">
        <v>4481.8</v>
      </c>
      <c r="N17" s="22">
        <v>5.3</v>
      </c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7386.8</v>
      </c>
      <c r="AG17" s="27">
        <f t="shared" si="3"/>
        <v>7254.8</v>
      </c>
      <c r="AH17" s="6"/>
    </row>
    <row r="18" spans="1:33" ht="15.75">
      <c r="A18" s="3" t="s">
        <v>3</v>
      </c>
      <c r="B18" s="22">
        <v>0.3</v>
      </c>
      <c r="C18" s="22">
        <v>18.3</v>
      </c>
      <c r="D18" s="22"/>
      <c r="E18" s="22"/>
      <c r="F18" s="22"/>
      <c r="G18" s="22"/>
      <c r="H18" s="22"/>
      <c r="I18" s="22"/>
      <c r="J18" s="26"/>
      <c r="K18" s="22">
        <v>0.3</v>
      </c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0.3</v>
      </c>
      <c r="AG18" s="27">
        <f t="shared" si="3"/>
        <v>18.3</v>
      </c>
    </row>
    <row r="19" spans="1:33" ht="15.75">
      <c r="A19" s="3" t="s">
        <v>1</v>
      </c>
      <c r="B19" s="22">
        <v>793.8</v>
      </c>
      <c r="C19" s="22">
        <v>3242.3</v>
      </c>
      <c r="D19" s="22"/>
      <c r="E19" s="22">
        <v>180.5</v>
      </c>
      <c r="F19" s="22">
        <v>41.7</v>
      </c>
      <c r="G19" s="22"/>
      <c r="H19" s="22"/>
      <c r="I19" s="22"/>
      <c r="J19" s="26"/>
      <c r="K19" s="22">
        <v>0.4</v>
      </c>
      <c r="L19" s="22"/>
      <c r="M19" s="22"/>
      <c r="N19" s="22">
        <v>24.4</v>
      </c>
      <c r="O19" s="27">
        <v>34.1</v>
      </c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281.1</v>
      </c>
      <c r="AG19" s="27">
        <f t="shared" si="3"/>
        <v>3755.0000000000005</v>
      </c>
    </row>
    <row r="20" spans="1:33" ht="15.75">
      <c r="A20" s="3" t="s">
        <v>2</v>
      </c>
      <c r="B20" s="22">
        <v>9727.5</v>
      </c>
      <c r="C20" s="22">
        <v>5221.5</v>
      </c>
      <c r="D20" s="22"/>
      <c r="E20" s="22">
        <v>64.5</v>
      </c>
      <c r="F20" s="22">
        <v>37.6</v>
      </c>
      <c r="G20" s="22"/>
      <c r="H20" s="22"/>
      <c r="I20" s="22">
        <v>17.1</v>
      </c>
      <c r="J20" s="26"/>
      <c r="K20" s="22">
        <v>170.4</v>
      </c>
      <c r="L20" s="22"/>
      <c r="M20" s="22"/>
      <c r="N20" s="22">
        <v>78.7</v>
      </c>
      <c r="O20" s="27">
        <v>36.7</v>
      </c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405</v>
      </c>
      <c r="AG20" s="27">
        <f t="shared" si="3"/>
        <v>14544</v>
      </c>
    </row>
    <row r="21" spans="1:33" ht="15.75">
      <c r="A21" s="3" t="s">
        <v>17</v>
      </c>
      <c r="B21" s="22">
        <v>1058.1</v>
      </c>
      <c r="C21" s="22">
        <v>329</v>
      </c>
      <c r="D21" s="22"/>
      <c r="E21" s="22"/>
      <c r="F21" s="22"/>
      <c r="G21" s="22"/>
      <c r="H21" s="22"/>
      <c r="I21" s="22">
        <v>9.1</v>
      </c>
      <c r="J21" s="26"/>
      <c r="K21" s="22"/>
      <c r="L21" s="22"/>
      <c r="M21" s="22"/>
      <c r="N21" s="22">
        <v>67.9</v>
      </c>
      <c r="O21" s="27">
        <v>257.1</v>
      </c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334.1</v>
      </c>
      <c r="AG21" s="27">
        <f t="shared" si="3"/>
        <v>1053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1446.700000000003</v>
      </c>
      <c r="C23" s="22">
        <f t="shared" si="4"/>
        <v>3410.7000000000007</v>
      </c>
      <c r="D23" s="22">
        <f t="shared" si="4"/>
        <v>0</v>
      </c>
      <c r="E23" s="22">
        <f t="shared" si="4"/>
        <v>0</v>
      </c>
      <c r="F23" s="22">
        <f t="shared" si="4"/>
        <v>30.999999999999993</v>
      </c>
      <c r="G23" s="22">
        <f t="shared" si="4"/>
        <v>0</v>
      </c>
      <c r="H23" s="22">
        <f t="shared" si="4"/>
        <v>0</v>
      </c>
      <c r="I23" s="22">
        <f t="shared" si="4"/>
        <v>257.4</v>
      </c>
      <c r="J23" s="22">
        <f t="shared" si="4"/>
        <v>0.7</v>
      </c>
      <c r="K23" s="22">
        <f t="shared" si="4"/>
        <v>162.20000000000002</v>
      </c>
      <c r="L23" s="22">
        <f t="shared" si="4"/>
        <v>0</v>
      </c>
      <c r="M23" s="22">
        <f t="shared" si="4"/>
        <v>0</v>
      </c>
      <c r="N23" s="22">
        <f t="shared" si="4"/>
        <v>181.6</v>
      </c>
      <c r="O23" s="22">
        <f t="shared" si="4"/>
        <v>202.49999999999994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835.3999999999999</v>
      </c>
      <c r="AG23" s="27">
        <f t="shared" si="3"/>
        <v>4022.0000000000036</v>
      </c>
    </row>
    <row r="24" spans="1:33" ht="15" customHeight="1">
      <c r="A24" s="4" t="s">
        <v>7</v>
      </c>
      <c r="B24" s="22">
        <v>22321.7</v>
      </c>
      <c r="C24" s="22">
        <v>7561</v>
      </c>
      <c r="D24" s="22">
        <v>2.3</v>
      </c>
      <c r="E24" s="22">
        <v>43.5</v>
      </c>
      <c r="F24" s="22"/>
      <c r="G24" s="22"/>
      <c r="H24" s="22"/>
      <c r="I24" s="22"/>
      <c r="J24" s="26"/>
      <c r="K24" s="22"/>
      <c r="L24" s="22">
        <v>4468.5</v>
      </c>
      <c r="M24" s="22">
        <v>5631.4</v>
      </c>
      <c r="N24" s="22"/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10145.7</v>
      </c>
      <c r="AG24" s="27">
        <f t="shared" si="3"/>
        <v>19737</v>
      </c>
    </row>
    <row r="25" spans="1:34" s="70" customFormat="1" ht="15" customHeight="1">
      <c r="A25" s="65" t="s">
        <v>47</v>
      </c>
      <c r="B25" s="66">
        <v>15919</v>
      </c>
      <c r="C25" s="66">
        <v>5258.2</v>
      </c>
      <c r="D25" s="66"/>
      <c r="E25" s="66">
        <v>35.6</v>
      </c>
      <c r="F25" s="66"/>
      <c r="G25" s="66"/>
      <c r="H25" s="66"/>
      <c r="I25" s="66"/>
      <c r="J25" s="68"/>
      <c r="K25" s="66"/>
      <c r="L25" s="66">
        <v>4468.5</v>
      </c>
      <c r="M25" s="66">
        <v>3624.8</v>
      </c>
      <c r="N25" s="66"/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8128.900000000001</v>
      </c>
      <c r="AG25" s="71">
        <f t="shared" si="3"/>
        <v>13048.3</v>
      </c>
      <c r="AH25" s="75"/>
    </row>
    <row r="26" spans="1:34" ht="15.75">
      <c r="A26" s="3" t="s">
        <v>5</v>
      </c>
      <c r="B26" s="22">
        <v>17079</v>
      </c>
      <c r="C26" s="22">
        <v>45.7</v>
      </c>
      <c r="D26" s="22"/>
      <c r="E26" s="22"/>
      <c r="F26" s="22"/>
      <c r="G26" s="22"/>
      <c r="H26" s="22"/>
      <c r="I26" s="22"/>
      <c r="J26" s="26"/>
      <c r="K26" s="22"/>
      <c r="L26" s="22">
        <v>3790.5</v>
      </c>
      <c r="M26" s="22">
        <v>3239.9</v>
      </c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7030.4</v>
      </c>
      <c r="AG26" s="27">
        <f t="shared" si="3"/>
        <v>10094.300000000001</v>
      </c>
      <c r="AH26" s="6"/>
    </row>
    <row r="27" spans="1:33" ht="15.75">
      <c r="A27" s="3" t="s">
        <v>3</v>
      </c>
      <c r="B27" s="22">
        <f>1610.1+1135.3</f>
        <v>2745.3999999999996</v>
      </c>
      <c r="C27" s="22">
        <v>2553.8</v>
      </c>
      <c r="D27" s="22"/>
      <c r="E27" s="22">
        <v>1.6</v>
      </c>
      <c r="F27" s="22"/>
      <c r="G27" s="22"/>
      <c r="H27" s="22"/>
      <c r="I27" s="22"/>
      <c r="J27" s="26"/>
      <c r="K27" s="22"/>
      <c r="L27" s="22"/>
      <c r="M27" s="22">
        <v>2146</v>
      </c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2147.6</v>
      </c>
      <c r="AG27" s="27">
        <f t="shared" si="3"/>
        <v>3151.6</v>
      </c>
    </row>
    <row r="28" spans="1:33" ht="15.75">
      <c r="A28" s="3" t="s">
        <v>1</v>
      </c>
      <c r="B28" s="22">
        <v>336.6</v>
      </c>
      <c r="C28" s="22">
        <v>1.1</v>
      </c>
      <c r="D28" s="22"/>
      <c r="E28" s="22"/>
      <c r="F28" s="22"/>
      <c r="G28" s="22"/>
      <c r="H28" s="22"/>
      <c r="I28" s="22"/>
      <c r="J28" s="26"/>
      <c r="K28" s="22"/>
      <c r="L28" s="22">
        <v>67.9</v>
      </c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67.9</v>
      </c>
      <c r="AG28" s="27">
        <f t="shared" si="3"/>
        <v>269.80000000000007</v>
      </c>
    </row>
    <row r="29" spans="1:33" ht="15.75">
      <c r="A29" s="3" t="s">
        <v>2</v>
      </c>
      <c r="B29" s="22">
        <v>1156</v>
      </c>
      <c r="C29" s="22">
        <v>1921.6</v>
      </c>
      <c r="D29" s="22"/>
      <c r="E29" s="22">
        <v>6.8</v>
      </c>
      <c r="F29" s="22"/>
      <c r="G29" s="22"/>
      <c r="H29" s="22"/>
      <c r="I29" s="22"/>
      <c r="J29" s="26"/>
      <c r="K29" s="22"/>
      <c r="L29" s="22">
        <v>539.1</v>
      </c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545.9</v>
      </c>
      <c r="AG29" s="27">
        <f t="shared" si="3"/>
        <v>2531.7</v>
      </c>
    </row>
    <row r="30" spans="1:33" ht="15.75">
      <c r="A30" s="3" t="s">
        <v>17</v>
      </c>
      <c r="B30" s="22">
        <v>137.3</v>
      </c>
      <c r="C30" s="22">
        <v>40.6</v>
      </c>
      <c r="D30" s="22"/>
      <c r="E30" s="22"/>
      <c r="F30" s="22"/>
      <c r="G30" s="22"/>
      <c r="H30" s="22"/>
      <c r="I30" s="22"/>
      <c r="J30" s="26"/>
      <c r="K30" s="22"/>
      <c r="L30" s="22">
        <v>48.1</v>
      </c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48.1</v>
      </c>
      <c r="AG30" s="27">
        <f t="shared" si="3"/>
        <v>129.8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867.4000000000012</v>
      </c>
      <c r="C32" s="22">
        <f t="shared" si="5"/>
        <v>2998.2</v>
      </c>
      <c r="D32" s="22">
        <f t="shared" si="5"/>
        <v>2.3</v>
      </c>
      <c r="E32" s="22">
        <f t="shared" si="5"/>
        <v>35.1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22.9</v>
      </c>
      <c r="M32" s="22">
        <f t="shared" si="5"/>
        <v>245.49999999999955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305.79999999999956</v>
      </c>
      <c r="AG32" s="27">
        <f>AG24-AG26-AG27-AG28-AG29-AG30-AG31</f>
        <v>3559.7999999999984</v>
      </c>
    </row>
    <row r="33" spans="1:33" ht="15" customHeight="1">
      <c r="A33" s="4" t="s">
        <v>8</v>
      </c>
      <c r="B33" s="22">
        <v>1771.2</v>
      </c>
      <c r="C33" s="22">
        <v>2331.7</v>
      </c>
      <c r="D33" s="22"/>
      <c r="E33" s="22"/>
      <c r="F33" s="22">
        <v>4</v>
      </c>
      <c r="G33" s="22"/>
      <c r="H33" s="22"/>
      <c r="I33" s="22">
        <v>111.8</v>
      </c>
      <c r="J33" s="26"/>
      <c r="K33" s="22"/>
      <c r="L33" s="22">
        <v>66.3</v>
      </c>
      <c r="M33" s="22">
        <v>34</v>
      </c>
      <c r="N33" s="22"/>
      <c r="O33" s="27">
        <v>5.8</v>
      </c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221.9</v>
      </c>
      <c r="AG33" s="27">
        <f aca="true" t="shared" si="6" ref="AG33:AG38">B33+C33-AF33</f>
        <v>3880.9999999999995</v>
      </c>
    </row>
    <row r="34" spans="1:33" ht="15.75">
      <c r="A34" s="3" t="s">
        <v>5</v>
      </c>
      <c r="B34" s="22">
        <v>152.1</v>
      </c>
      <c r="C34" s="22">
        <v>35.8</v>
      </c>
      <c r="D34" s="22"/>
      <c r="E34" s="22"/>
      <c r="F34" s="22"/>
      <c r="G34" s="22"/>
      <c r="H34" s="22"/>
      <c r="I34" s="22"/>
      <c r="J34" s="26"/>
      <c r="K34" s="22"/>
      <c r="L34" s="22">
        <v>66.3</v>
      </c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66.3</v>
      </c>
      <c r="AG34" s="27">
        <f t="shared" si="6"/>
        <v>121.59999999999998</v>
      </c>
    </row>
    <row r="35" spans="1:33" ht="15.75">
      <c r="A35" s="3" t="s">
        <v>1</v>
      </c>
      <c r="B35" s="22">
        <v>0</v>
      </c>
      <c r="C35" s="22">
        <v>331.8</v>
      </c>
      <c r="D35" s="22"/>
      <c r="E35" s="22"/>
      <c r="F35" s="22"/>
      <c r="G35" s="22"/>
      <c r="H35" s="22"/>
      <c r="I35" s="22">
        <v>111.8</v>
      </c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111.8</v>
      </c>
      <c r="AG35" s="27">
        <f t="shared" si="6"/>
        <v>220</v>
      </c>
    </row>
    <row r="36" spans="1:33" ht="15.75">
      <c r="A36" s="3" t="s">
        <v>2</v>
      </c>
      <c r="B36" s="44">
        <v>4.5</v>
      </c>
      <c r="C36" s="22">
        <v>168.8</v>
      </c>
      <c r="D36" s="22"/>
      <c r="E36" s="22"/>
      <c r="F36" s="22"/>
      <c r="G36" s="22"/>
      <c r="H36" s="22"/>
      <c r="I36" s="22"/>
      <c r="J36" s="26"/>
      <c r="K36" s="22"/>
      <c r="L36" s="22"/>
      <c r="M36" s="22">
        <v>0.3</v>
      </c>
      <c r="N36" s="22"/>
      <c r="O36" s="27">
        <v>0.1</v>
      </c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0.4</v>
      </c>
      <c r="AG36" s="27">
        <f t="shared" si="6"/>
        <v>172.9</v>
      </c>
    </row>
    <row r="37" spans="1:33" ht="15.75">
      <c r="A37" s="3" t="s">
        <v>17</v>
      </c>
      <c r="B37" s="22">
        <v>1608.1</v>
      </c>
      <c r="C37" s="22">
        <v>1723.3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3331.3999999999996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6.500000000000227</v>
      </c>
      <c r="C39" s="22">
        <f t="shared" si="7"/>
        <v>71.99999999999949</v>
      </c>
      <c r="D39" s="22">
        <f t="shared" si="7"/>
        <v>0</v>
      </c>
      <c r="E39" s="22">
        <f t="shared" si="7"/>
        <v>0</v>
      </c>
      <c r="F39" s="22">
        <f t="shared" si="7"/>
        <v>4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33.7</v>
      </c>
      <c r="N39" s="22">
        <f t="shared" si="7"/>
        <v>0</v>
      </c>
      <c r="O39" s="22">
        <f t="shared" si="7"/>
        <v>5.7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43.400000000000006</v>
      </c>
      <c r="AG39" s="27">
        <f>AG33-AG34-AG36-AG38-AG35-AG37</f>
        <v>35.09999999999991</v>
      </c>
    </row>
    <row r="40" spans="1:33" ht="15" customHeight="1">
      <c r="A40" s="4" t="s">
        <v>33</v>
      </c>
      <c r="B40" s="22">
        <v>643.4</v>
      </c>
      <c r="C40" s="22">
        <v>114.6</v>
      </c>
      <c r="D40" s="22"/>
      <c r="E40" s="22"/>
      <c r="F40" s="22"/>
      <c r="G40" s="22">
        <v>14.8</v>
      </c>
      <c r="H40" s="22"/>
      <c r="I40" s="22">
        <v>50.6</v>
      </c>
      <c r="J40" s="26">
        <v>5.2</v>
      </c>
      <c r="K40" s="22"/>
      <c r="L40" s="22">
        <v>267.1</v>
      </c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337.70000000000005</v>
      </c>
      <c r="AG40" s="27">
        <f aca="true" t="shared" si="8" ref="AG40:AG45">B40+C40-AF40</f>
        <v>420.29999999999995</v>
      </c>
    </row>
    <row r="41" spans="1:34" ht="15.75">
      <c r="A41" s="3" t="s">
        <v>5</v>
      </c>
      <c r="B41" s="22">
        <v>601.6</v>
      </c>
      <c r="C41" s="22">
        <v>28.6</v>
      </c>
      <c r="D41" s="22"/>
      <c r="E41" s="22"/>
      <c r="F41" s="22"/>
      <c r="G41" s="22"/>
      <c r="H41" s="22"/>
      <c r="I41" s="22">
        <v>45.8</v>
      </c>
      <c r="J41" s="26"/>
      <c r="K41" s="22"/>
      <c r="L41" s="22">
        <v>263.2</v>
      </c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309</v>
      </c>
      <c r="AG41" s="27">
        <f t="shared" si="8"/>
        <v>321.20000000000005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5</v>
      </c>
      <c r="C43" s="22">
        <v>3.3</v>
      </c>
      <c r="D43" s="22"/>
      <c r="E43" s="22"/>
      <c r="F43" s="22"/>
      <c r="G43" s="22">
        <v>2</v>
      </c>
      <c r="H43" s="22"/>
      <c r="I43" s="22">
        <v>4.6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6.6</v>
      </c>
      <c r="AG43" s="27">
        <f t="shared" si="8"/>
        <v>1.700000000000001</v>
      </c>
    </row>
    <row r="44" spans="1:33" ht="15.75">
      <c r="A44" s="3" t="s">
        <v>2</v>
      </c>
      <c r="B44" s="22">
        <v>4</v>
      </c>
      <c r="C44" s="22">
        <v>31</v>
      </c>
      <c r="D44" s="22"/>
      <c r="E44" s="22"/>
      <c r="F44" s="22"/>
      <c r="G44" s="22"/>
      <c r="H44" s="22"/>
      <c r="I44" s="22"/>
      <c r="J44" s="26">
        <v>0.5</v>
      </c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0.5</v>
      </c>
      <c r="AG44" s="27">
        <f t="shared" si="8"/>
        <v>34.5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32.799999999999955</v>
      </c>
      <c r="C46" s="22">
        <f t="shared" si="10"/>
        <v>51.7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12.8</v>
      </c>
      <c r="H46" s="22">
        <f t="shared" si="10"/>
        <v>0</v>
      </c>
      <c r="I46" s="22">
        <f t="shared" si="10"/>
        <v>0.20000000000000462</v>
      </c>
      <c r="J46" s="22">
        <f t="shared" si="10"/>
        <v>4.7</v>
      </c>
      <c r="K46" s="22">
        <f t="shared" si="10"/>
        <v>0</v>
      </c>
      <c r="L46" s="22">
        <f t="shared" si="10"/>
        <v>3.900000000000034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21.60000000000004</v>
      </c>
      <c r="AG46" s="27">
        <f>AG40-AG41-AG42-AG43-AG44-AG45</f>
        <v>62.899999999999906</v>
      </c>
    </row>
    <row r="47" spans="1:33" ht="17.25" customHeight="1">
      <c r="A47" s="4" t="s">
        <v>15</v>
      </c>
      <c r="B47" s="36">
        <v>777.3</v>
      </c>
      <c r="C47" s="22">
        <v>834.3</v>
      </c>
      <c r="D47" s="22"/>
      <c r="E47" s="28">
        <v>80</v>
      </c>
      <c r="F47" s="28"/>
      <c r="G47" s="28">
        <v>25.2</v>
      </c>
      <c r="H47" s="28">
        <v>24.2</v>
      </c>
      <c r="I47" s="28"/>
      <c r="J47" s="29">
        <v>134.7</v>
      </c>
      <c r="K47" s="28">
        <v>26.1</v>
      </c>
      <c r="L47" s="28"/>
      <c r="M47" s="28">
        <v>4</v>
      </c>
      <c r="N47" s="28">
        <v>0.6</v>
      </c>
      <c r="O47" s="31">
        <v>36.8</v>
      </c>
      <c r="P47" s="28">
        <v>2.2</v>
      </c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333.80000000000007</v>
      </c>
      <c r="AG47" s="27">
        <f>B47+C47-AF47</f>
        <v>1277.7999999999997</v>
      </c>
    </row>
    <row r="48" spans="1:33" ht="15.75">
      <c r="A48" s="3" t="s">
        <v>5</v>
      </c>
      <c r="B48" s="22">
        <v>0</v>
      </c>
      <c r="C48" s="22">
        <v>58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58</v>
      </c>
    </row>
    <row r="49" spans="1:33" ht="15.75">
      <c r="A49" s="3" t="s">
        <v>17</v>
      </c>
      <c r="B49" s="22">
        <v>621.1</v>
      </c>
      <c r="C49" s="22">
        <v>341.2</v>
      </c>
      <c r="D49" s="22"/>
      <c r="E49" s="22">
        <v>71.7</v>
      </c>
      <c r="F49" s="22"/>
      <c r="G49" s="22"/>
      <c r="H49" s="22">
        <v>17.8</v>
      </c>
      <c r="I49" s="22"/>
      <c r="J49" s="26">
        <v>134.5</v>
      </c>
      <c r="K49" s="22">
        <v>24.2</v>
      </c>
      <c r="L49" s="22"/>
      <c r="M49" s="22">
        <v>4</v>
      </c>
      <c r="N49" s="22"/>
      <c r="O49" s="27">
        <v>36.4</v>
      </c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288.59999999999997</v>
      </c>
      <c r="AG49" s="27">
        <f>B49+C49-AF49</f>
        <v>673.7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156.19999999999993</v>
      </c>
      <c r="C51" s="22">
        <f t="shared" si="11"/>
        <v>435.09999999999997</v>
      </c>
      <c r="D51" s="22">
        <f t="shared" si="11"/>
        <v>0</v>
      </c>
      <c r="E51" s="22">
        <f t="shared" si="11"/>
        <v>8.299999999999997</v>
      </c>
      <c r="F51" s="22">
        <f t="shared" si="11"/>
        <v>0</v>
      </c>
      <c r="G51" s="22">
        <f t="shared" si="11"/>
        <v>25.2</v>
      </c>
      <c r="H51" s="22">
        <f t="shared" si="11"/>
        <v>6.399999999999999</v>
      </c>
      <c r="I51" s="22">
        <f t="shared" si="11"/>
        <v>0</v>
      </c>
      <c r="J51" s="22">
        <f t="shared" si="11"/>
        <v>0.19999999999998863</v>
      </c>
      <c r="K51" s="22">
        <f t="shared" si="11"/>
        <v>1.9000000000000021</v>
      </c>
      <c r="L51" s="22">
        <f t="shared" si="11"/>
        <v>0</v>
      </c>
      <c r="M51" s="22">
        <f t="shared" si="11"/>
        <v>0</v>
      </c>
      <c r="N51" s="22">
        <f t="shared" si="11"/>
        <v>0.6</v>
      </c>
      <c r="O51" s="22">
        <f t="shared" si="11"/>
        <v>0.3999999999999986</v>
      </c>
      <c r="P51" s="22">
        <f t="shared" si="11"/>
        <v>2.2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45.19999999999999</v>
      </c>
      <c r="AG51" s="27">
        <f>AG47-AG49-AG48</f>
        <v>546.0999999999997</v>
      </c>
    </row>
    <row r="52" spans="1:33" ht="15" customHeight="1">
      <c r="A52" s="4" t="s">
        <v>0</v>
      </c>
      <c r="B52" s="22">
        <f>4352+322</f>
        <v>4674</v>
      </c>
      <c r="C52" s="22">
        <v>6690.5</v>
      </c>
      <c r="D52" s="22"/>
      <c r="E52" s="22">
        <v>1867.5</v>
      </c>
      <c r="F52" s="22"/>
      <c r="G52" s="22">
        <v>413.3</v>
      </c>
      <c r="H52" s="22"/>
      <c r="I52" s="22">
        <v>956.5</v>
      </c>
      <c r="J52" s="26">
        <v>69.1</v>
      </c>
      <c r="K52" s="22">
        <v>5.5</v>
      </c>
      <c r="L52" s="22">
        <v>134.6</v>
      </c>
      <c r="M52" s="22">
        <v>324.3</v>
      </c>
      <c r="N52" s="22">
        <v>938.7</v>
      </c>
      <c r="O52" s="27"/>
      <c r="P52" s="22">
        <v>8.3</v>
      </c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4717.8</v>
      </c>
      <c r="AG52" s="27">
        <f aca="true" t="shared" si="12" ref="AG52:AG59">B52+C52-AF52</f>
        <v>6646.7</v>
      </c>
    </row>
    <row r="53" spans="1:33" ht="15" customHeight="1">
      <c r="A53" s="3" t="s">
        <v>2</v>
      </c>
      <c r="B53" s="22">
        <f>429.6+120</f>
        <v>549.6</v>
      </c>
      <c r="C53" s="22">
        <v>165.5</v>
      </c>
      <c r="D53" s="22"/>
      <c r="E53" s="22">
        <v>382.5</v>
      </c>
      <c r="F53" s="22"/>
      <c r="G53" s="22">
        <v>3.4</v>
      </c>
      <c r="H53" s="22"/>
      <c r="I53" s="22">
        <v>31.2</v>
      </c>
      <c r="J53" s="26">
        <v>13.3</v>
      </c>
      <c r="K53" s="22"/>
      <c r="L53" s="22"/>
      <c r="M53" s="22"/>
      <c r="N53" s="22"/>
      <c r="O53" s="27"/>
      <c r="P53" s="22">
        <v>8.3</v>
      </c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438.7</v>
      </c>
      <c r="AG53" s="27">
        <f t="shared" si="12"/>
        <v>276.40000000000003</v>
      </c>
    </row>
    <row r="54" spans="1:34" ht="15" customHeight="1">
      <c r="A54" s="4" t="s">
        <v>9</v>
      </c>
      <c r="B54" s="44">
        <v>2015.2</v>
      </c>
      <c r="C54" s="22">
        <v>2030.3</v>
      </c>
      <c r="D54" s="22">
        <v>74</v>
      </c>
      <c r="E54" s="22">
        <v>543.8</v>
      </c>
      <c r="F54" s="22">
        <v>10.7</v>
      </c>
      <c r="G54" s="22">
        <v>40.3</v>
      </c>
      <c r="H54" s="22">
        <v>47.5</v>
      </c>
      <c r="I54" s="22"/>
      <c r="J54" s="26">
        <v>14.7</v>
      </c>
      <c r="K54" s="22">
        <v>430.8</v>
      </c>
      <c r="L54" s="22">
        <v>3.7</v>
      </c>
      <c r="M54" s="22"/>
      <c r="N54" s="22">
        <v>24.6</v>
      </c>
      <c r="O54" s="27">
        <v>81</v>
      </c>
      <c r="P54" s="22">
        <v>9.2</v>
      </c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1280.3</v>
      </c>
      <c r="AG54" s="22">
        <f t="shared" si="12"/>
        <v>2765.2</v>
      </c>
      <c r="AH54" s="6"/>
    </row>
    <row r="55" spans="1:34" ht="15.75">
      <c r="A55" s="3" t="s">
        <v>5</v>
      </c>
      <c r="B55" s="22">
        <v>1162.8</v>
      </c>
      <c r="C55" s="22">
        <v>172.6</v>
      </c>
      <c r="D55" s="22">
        <v>74</v>
      </c>
      <c r="E55" s="22">
        <v>93.6</v>
      </c>
      <c r="F55" s="22"/>
      <c r="G55" s="22"/>
      <c r="H55" s="22">
        <v>20</v>
      </c>
      <c r="I55" s="22"/>
      <c r="J55" s="26"/>
      <c r="K55" s="22">
        <v>430.6</v>
      </c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618.2</v>
      </c>
      <c r="AG55" s="22">
        <f t="shared" si="12"/>
        <v>717.1999999999998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22.6</v>
      </c>
      <c r="C57" s="22">
        <v>600.8</v>
      </c>
      <c r="D57" s="22"/>
      <c r="E57" s="22">
        <v>0.3</v>
      </c>
      <c r="F57" s="22">
        <v>1.1</v>
      </c>
      <c r="G57" s="22"/>
      <c r="H57" s="22">
        <v>0.2</v>
      </c>
      <c r="I57" s="22"/>
      <c r="J57" s="26">
        <v>0.6</v>
      </c>
      <c r="K57" s="22"/>
      <c r="L57" s="22">
        <v>0.2</v>
      </c>
      <c r="M57" s="22"/>
      <c r="N57" s="22">
        <v>4.1</v>
      </c>
      <c r="O57" s="27"/>
      <c r="P57" s="22">
        <v>1</v>
      </c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7.5</v>
      </c>
      <c r="AG57" s="22">
        <f t="shared" si="12"/>
        <v>615.9</v>
      </c>
    </row>
    <row r="58" spans="1:33" ht="15.7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829.8000000000001</v>
      </c>
      <c r="C60" s="22">
        <f t="shared" si="13"/>
        <v>1256.9</v>
      </c>
      <c r="D60" s="22">
        <f t="shared" si="13"/>
        <v>0</v>
      </c>
      <c r="E60" s="22">
        <f t="shared" si="13"/>
        <v>449.8999999999999</v>
      </c>
      <c r="F60" s="22">
        <f t="shared" si="13"/>
        <v>9.6</v>
      </c>
      <c r="G60" s="22">
        <f t="shared" si="13"/>
        <v>40.3</v>
      </c>
      <c r="H60" s="22">
        <f t="shared" si="13"/>
        <v>27.3</v>
      </c>
      <c r="I60" s="22">
        <f t="shared" si="13"/>
        <v>0</v>
      </c>
      <c r="J60" s="22">
        <f t="shared" si="13"/>
        <v>14.1</v>
      </c>
      <c r="K60" s="22">
        <f t="shared" si="13"/>
        <v>0.19999999999998863</v>
      </c>
      <c r="L60" s="22">
        <f t="shared" si="13"/>
        <v>3.5</v>
      </c>
      <c r="M60" s="22">
        <f t="shared" si="13"/>
        <v>0</v>
      </c>
      <c r="N60" s="22">
        <f t="shared" si="13"/>
        <v>20.5</v>
      </c>
      <c r="O60" s="22">
        <f t="shared" si="13"/>
        <v>81</v>
      </c>
      <c r="P60" s="22">
        <f t="shared" si="13"/>
        <v>8.2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654.5999999999999</v>
      </c>
      <c r="AG60" s="22">
        <f>AG54-AG55-AG57-AG59-AG56-AG58</f>
        <v>1432.1</v>
      </c>
    </row>
    <row r="61" spans="1:33" ht="15" customHeight="1">
      <c r="A61" s="4" t="s">
        <v>10</v>
      </c>
      <c r="B61" s="22">
        <f>44.5+0.8</f>
        <v>45.3</v>
      </c>
      <c r="C61" s="22">
        <v>73.6</v>
      </c>
      <c r="D61" s="22"/>
      <c r="E61" s="22"/>
      <c r="F61" s="22"/>
      <c r="G61" s="22"/>
      <c r="H61" s="22">
        <v>0.8</v>
      </c>
      <c r="I61" s="22">
        <v>8.4</v>
      </c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9.200000000000001</v>
      </c>
      <c r="AG61" s="22">
        <f aca="true" t="shared" si="15" ref="AG61:AG67">B61+C61-AF61</f>
        <v>109.69999999999999</v>
      </c>
    </row>
    <row r="62" spans="1:33" ht="15" customHeight="1">
      <c r="A62" s="4" t="s">
        <v>11</v>
      </c>
      <c r="B62" s="22">
        <v>1189.4</v>
      </c>
      <c r="C62" s="22">
        <v>1848.5</v>
      </c>
      <c r="D62" s="22"/>
      <c r="E62" s="22"/>
      <c r="F62" s="22">
        <v>0.5</v>
      </c>
      <c r="G62" s="22"/>
      <c r="H62" s="22"/>
      <c r="I62" s="22">
        <v>13.2</v>
      </c>
      <c r="J62" s="26"/>
      <c r="K62" s="22"/>
      <c r="L62" s="22">
        <v>568.7</v>
      </c>
      <c r="M62" s="22">
        <v>43.8</v>
      </c>
      <c r="N62" s="22">
        <v>0.1</v>
      </c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626.3000000000001</v>
      </c>
      <c r="AG62" s="22">
        <f t="shared" si="15"/>
        <v>2411.6</v>
      </c>
    </row>
    <row r="63" spans="1:34" ht="15.75">
      <c r="A63" s="3" t="s">
        <v>5</v>
      </c>
      <c r="B63" s="22">
        <v>836.3</v>
      </c>
      <c r="C63" s="22">
        <v>309.9</v>
      </c>
      <c r="D63" s="22"/>
      <c r="E63" s="22"/>
      <c r="F63" s="22"/>
      <c r="G63" s="22"/>
      <c r="H63" s="22"/>
      <c r="I63" s="22"/>
      <c r="J63" s="26"/>
      <c r="K63" s="22"/>
      <c r="L63" s="22">
        <v>487.4</v>
      </c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487.4</v>
      </c>
      <c r="AG63" s="22">
        <f t="shared" si="15"/>
        <v>658.7999999999998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16.5</v>
      </c>
      <c r="C65" s="22">
        <v>13.6</v>
      </c>
      <c r="D65" s="22"/>
      <c r="E65" s="22"/>
      <c r="F65" s="22"/>
      <c r="G65" s="22"/>
      <c r="H65" s="22"/>
      <c r="I65" s="22">
        <v>3.8</v>
      </c>
      <c r="J65" s="26"/>
      <c r="K65" s="22"/>
      <c r="L65" s="22"/>
      <c r="M65" s="22">
        <v>1.6</v>
      </c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5.4</v>
      </c>
      <c r="AG65" s="22">
        <f t="shared" si="15"/>
        <v>24.700000000000003</v>
      </c>
      <c r="AH65" s="6"/>
    </row>
    <row r="66" spans="1:33" ht="15.75">
      <c r="A66" s="3" t="s">
        <v>2</v>
      </c>
      <c r="B66" s="22">
        <v>17</v>
      </c>
      <c r="C66" s="22">
        <v>200.3</v>
      </c>
      <c r="D66" s="22"/>
      <c r="E66" s="22"/>
      <c r="F66" s="22"/>
      <c r="G66" s="22"/>
      <c r="H66" s="22"/>
      <c r="I66" s="22"/>
      <c r="J66" s="26"/>
      <c r="K66" s="22"/>
      <c r="L66" s="22"/>
      <c r="M66" s="22">
        <v>0.7</v>
      </c>
      <c r="N66" s="22">
        <v>0.1</v>
      </c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0.7999999999999999</v>
      </c>
      <c r="AG66" s="22">
        <f t="shared" si="15"/>
        <v>216.5</v>
      </c>
    </row>
    <row r="67" spans="1:33" ht="15.75">
      <c r="A67" s="3" t="s">
        <v>17</v>
      </c>
      <c r="B67" s="22">
        <v>0</v>
      </c>
      <c r="C67" s="22">
        <v>160</v>
      </c>
      <c r="D67" s="22"/>
      <c r="E67" s="22"/>
      <c r="F67" s="22"/>
      <c r="G67" s="22"/>
      <c r="H67" s="22"/>
      <c r="I67" s="22"/>
      <c r="J67" s="26"/>
      <c r="K67" s="22"/>
      <c r="L67" s="22"/>
      <c r="M67" s="22">
        <v>40</v>
      </c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120</v>
      </c>
    </row>
    <row r="68" spans="1:33" ht="15.75">
      <c r="A68" s="3" t="s">
        <v>26</v>
      </c>
      <c r="B68" s="22">
        <f aca="true" t="shared" si="16" ref="B68:AD68">B62-B63-B66-B67-B65-B64</f>
        <v>319.60000000000014</v>
      </c>
      <c r="C68" s="22">
        <f t="shared" si="16"/>
        <v>1164.7</v>
      </c>
      <c r="D68" s="22">
        <f t="shared" si="16"/>
        <v>0</v>
      </c>
      <c r="E68" s="22">
        <f t="shared" si="16"/>
        <v>0</v>
      </c>
      <c r="F68" s="22">
        <f t="shared" si="16"/>
        <v>0.5</v>
      </c>
      <c r="G68" s="22">
        <f t="shared" si="16"/>
        <v>0</v>
      </c>
      <c r="H68" s="22">
        <f t="shared" si="16"/>
        <v>0</v>
      </c>
      <c r="I68" s="22">
        <f t="shared" si="16"/>
        <v>9.399999999999999</v>
      </c>
      <c r="J68" s="22">
        <f t="shared" si="16"/>
        <v>0</v>
      </c>
      <c r="K68" s="22">
        <f t="shared" si="16"/>
        <v>0</v>
      </c>
      <c r="L68" s="22">
        <f t="shared" si="16"/>
        <v>81.30000000000007</v>
      </c>
      <c r="M68" s="22">
        <f t="shared" si="16"/>
        <v>1.4999999999999942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92.70000000000007</v>
      </c>
      <c r="AG68" s="22">
        <f>AG62-AG63-AG66-AG67-AG65-AG64</f>
        <v>1391.6000000000001</v>
      </c>
    </row>
    <row r="69" spans="1:33" ht="31.5">
      <c r="A69" s="4" t="s">
        <v>32</v>
      </c>
      <c r="B69" s="22">
        <v>85.4</v>
      </c>
      <c r="C69" s="22">
        <v>1057.6</v>
      </c>
      <c r="D69" s="22"/>
      <c r="E69" s="22"/>
      <c r="F69" s="22"/>
      <c r="G69" s="22">
        <v>16.3</v>
      </c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16.3</v>
      </c>
      <c r="AG69" s="30">
        <f aca="true" t="shared" si="17" ref="AG69:AG92">B69+C69-AF69</f>
        <v>1126.7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1437.9-0.8-200</f>
        <v>1237.1000000000001</v>
      </c>
      <c r="C72" s="22">
        <v>2416.4</v>
      </c>
      <c r="D72" s="22"/>
      <c r="E72" s="22">
        <v>61</v>
      </c>
      <c r="F72" s="22">
        <v>81.3</v>
      </c>
      <c r="G72" s="22">
        <v>58.3</v>
      </c>
      <c r="H72" s="22">
        <v>2.2</v>
      </c>
      <c r="I72" s="22"/>
      <c r="J72" s="26">
        <v>15.2</v>
      </c>
      <c r="K72" s="22">
        <v>1.9</v>
      </c>
      <c r="L72" s="22">
        <v>37.9</v>
      </c>
      <c r="M72" s="22">
        <v>12</v>
      </c>
      <c r="N72" s="22">
        <v>5.9</v>
      </c>
      <c r="O72" s="22"/>
      <c r="P72" s="22">
        <v>0.7</v>
      </c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276.4</v>
      </c>
      <c r="AG72" s="30">
        <f t="shared" si="17"/>
        <v>3377.1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50.8</v>
      </c>
      <c r="C74" s="22">
        <v>334.5</v>
      </c>
      <c r="D74" s="22"/>
      <c r="E74" s="22">
        <v>32.7</v>
      </c>
      <c r="F74" s="22">
        <v>5.4</v>
      </c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38.1</v>
      </c>
      <c r="AG74" s="30">
        <f t="shared" si="17"/>
        <v>347.2</v>
      </c>
    </row>
    <row r="75" spans="1:33" ht="15" customHeight="1">
      <c r="A75" s="3" t="s">
        <v>17</v>
      </c>
      <c r="B75" s="22">
        <v>84.7</v>
      </c>
      <c r="C75" s="22">
        <v>285.5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370.2</v>
      </c>
    </row>
    <row r="76" spans="1:33" s="11" customFormat="1" ht="31.5">
      <c r="A76" s="12" t="s">
        <v>21</v>
      </c>
      <c r="B76" s="22">
        <v>97.6</v>
      </c>
      <c r="C76" s="22">
        <f>602.8-122</f>
        <v>480.79999999999995</v>
      </c>
      <c r="D76" s="22"/>
      <c r="E76" s="28"/>
      <c r="F76" s="28"/>
      <c r="G76" s="28"/>
      <c r="H76" s="28"/>
      <c r="I76" s="28"/>
      <c r="J76" s="29">
        <v>136.8</v>
      </c>
      <c r="K76" s="28"/>
      <c r="L76" s="28"/>
      <c r="M76" s="28">
        <v>40.6</v>
      </c>
      <c r="N76" s="28"/>
      <c r="O76" s="28"/>
      <c r="P76" s="28">
        <v>29.1</v>
      </c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206.5</v>
      </c>
      <c r="AG76" s="30">
        <f t="shared" si="17"/>
        <v>371.9</v>
      </c>
    </row>
    <row r="77" spans="1:33" s="11" customFormat="1" ht="15.75">
      <c r="A77" s="3" t="s">
        <v>5</v>
      </c>
      <c r="B77" s="22">
        <v>72</v>
      </c>
      <c r="C77" s="22">
        <v>0</v>
      </c>
      <c r="D77" s="22"/>
      <c r="E77" s="28"/>
      <c r="F77" s="28"/>
      <c r="G77" s="28"/>
      <c r="H77" s="28"/>
      <c r="I77" s="28"/>
      <c r="J77" s="29"/>
      <c r="K77" s="28"/>
      <c r="L77" s="28"/>
      <c r="M77" s="28">
        <v>28.8</v>
      </c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28.8</v>
      </c>
      <c r="AG77" s="30">
        <f t="shared" si="17"/>
        <v>43.2</v>
      </c>
    </row>
    <row r="78" spans="1:33" s="11" customFormat="1" ht="15.75">
      <c r="A78" s="3" t="s">
        <v>3</v>
      </c>
      <c r="B78" s="22">
        <v>0</v>
      </c>
      <c r="C78" s="22">
        <v>80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80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0.2</v>
      </c>
      <c r="C80" s="22">
        <v>2.2</v>
      </c>
      <c r="D80" s="22"/>
      <c r="E80" s="28"/>
      <c r="F80" s="28"/>
      <c r="G80" s="28"/>
      <c r="H80" s="28"/>
      <c r="I80" s="28"/>
      <c r="J80" s="29"/>
      <c r="K80" s="28"/>
      <c r="L80" s="28"/>
      <c r="M80" s="28">
        <v>0.2</v>
      </c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0.2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83.7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83.7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2467.1</v>
      </c>
      <c r="C89" s="22">
        <v>5070.4</v>
      </c>
      <c r="D89" s="22"/>
      <c r="E89" s="22"/>
      <c r="F89" s="22"/>
      <c r="G89" s="22">
        <v>105.3</v>
      </c>
      <c r="H89" s="22"/>
      <c r="I89" s="22">
        <v>1278.3</v>
      </c>
      <c r="J89" s="22"/>
      <c r="K89" s="22"/>
      <c r="L89" s="22"/>
      <c r="M89" s="22"/>
      <c r="N89" s="22"/>
      <c r="O89" s="22"/>
      <c r="P89" s="22">
        <v>11</v>
      </c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1394.6</v>
      </c>
      <c r="AG89" s="22">
        <f t="shared" si="17"/>
        <v>6142.9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>
        <v>805.6</v>
      </c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805.6</v>
      </c>
      <c r="AG90" s="22">
        <f t="shared" si="17"/>
        <v>1611.2000000000003</v>
      </c>
      <c r="AH90" s="11"/>
    </row>
    <row r="91" spans="1:34" ht="15.75">
      <c r="A91" s="4" t="s">
        <v>28</v>
      </c>
      <c r="B91" s="22">
        <v>0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v>78037</v>
      </c>
      <c r="C92" s="22">
        <v>0</v>
      </c>
      <c r="D92" s="22">
        <v>15870.5</v>
      </c>
      <c r="E92" s="22">
        <v>9518.1</v>
      </c>
      <c r="F92" s="22"/>
      <c r="G92" s="22"/>
      <c r="H92" s="22">
        <v>214.4</v>
      </c>
      <c r="I92" s="22"/>
      <c r="J92" s="22">
        <v>3758.9</v>
      </c>
      <c r="K92" s="22">
        <v>1514.4</v>
      </c>
      <c r="L92" s="22"/>
      <c r="M92" s="22"/>
      <c r="N92" s="22">
        <v>737.1</v>
      </c>
      <c r="O92" s="22">
        <v>3410.5</v>
      </c>
      <c r="P92" s="22">
        <v>6394</v>
      </c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41417.9</v>
      </c>
      <c r="AG92" s="22">
        <f t="shared" si="17"/>
        <v>36619.1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149822.5</v>
      </c>
      <c r="C94" s="42">
        <f t="shared" si="18"/>
        <v>46751.6</v>
      </c>
      <c r="D94" s="42">
        <f t="shared" si="18"/>
        <v>16009.4</v>
      </c>
      <c r="E94" s="42">
        <f t="shared" si="18"/>
        <v>13411.2</v>
      </c>
      <c r="F94" s="42">
        <f t="shared" si="18"/>
        <v>542.1</v>
      </c>
      <c r="G94" s="42">
        <f t="shared" si="18"/>
        <v>791.9999999999998</v>
      </c>
      <c r="H94" s="42">
        <f t="shared" si="18"/>
        <v>292.3</v>
      </c>
      <c r="I94" s="42">
        <f t="shared" si="18"/>
        <v>2718.5</v>
      </c>
      <c r="J94" s="42">
        <f t="shared" si="18"/>
        <v>4986.4</v>
      </c>
      <c r="K94" s="42">
        <f t="shared" si="18"/>
        <v>2439.9</v>
      </c>
      <c r="L94" s="42">
        <f t="shared" si="18"/>
        <v>7649.3</v>
      </c>
      <c r="M94" s="42">
        <f t="shared" si="18"/>
        <v>11385.799999999997</v>
      </c>
      <c r="N94" s="42">
        <f t="shared" si="18"/>
        <v>2414.2</v>
      </c>
      <c r="O94" s="42">
        <f t="shared" si="18"/>
        <v>4075.2</v>
      </c>
      <c r="P94" s="42">
        <f t="shared" si="18"/>
        <v>6454.5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73170.8</v>
      </c>
      <c r="AG94" s="58">
        <f>AG10+AG15+AG24+AG33+AG47+AG52+AG54+AG61+AG62+AG69+AG71+AG72+AG76+AG81+AG82+AG83+AG88+AG89+AG90+AG91+AG70+AG40+AG92</f>
        <v>123403.29999999999</v>
      </c>
    </row>
    <row r="95" spans="1:33" ht="15.75">
      <c r="A95" s="3" t="s">
        <v>5</v>
      </c>
      <c r="B95" s="22">
        <f aca="true" t="shared" si="19" ref="B95:AD95">B11+B17+B26+B34+B55+B63+B73+B41+B77+B48</f>
        <v>38276.8</v>
      </c>
      <c r="C95" s="22">
        <f t="shared" si="19"/>
        <v>3496.1</v>
      </c>
      <c r="D95" s="22">
        <f t="shared" si="19"/>
        <v>136.6</v>
      </c>
      <c r="E95" s="22">
        <f t="shared" si="19"/>
        <v>1106.3</v>
      </c>
      <c r="F95" s="22">
        <f t="shared" si="19"/>
        <v>228.2</v>
      </c>
      <c r="G95" s="22">
        <f t="shared" si="19"/>
        <v>82.1</v>
      </c>
      <c r="H95" s="22">
        <f t="shared" si="19"/>
        <v>23.2</v>
      </c>
      <c r="I95" s="22">
        <f t="shared" si="19"/>
        <v>45.8</v>
      </c>
      <c r="J95" s="22">
        <f t="shared" si="19"/>
        <v>28.5</v>
      </c>
      <c r="K95" s="22">
        <f t="shared" si="19"/>
        <v>543</v>
      </c>
      <c r="L95" s="22">
        <f t="shared" si="19"/>
        <v>6708.299999999999</v>
      </c>
      <c r="M95" s="22">
        <f t="shared" si="19"/>
        <v>8559.699999999999</v>
      </c>
      <c r="N95" s="22">
        <f t="shared" si="19"/>
        <v>339.8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17801.499999999996</v>
      </c>
      <c r="AG95" s="27">
        <f>B95+C95-AF95</f>
        <v>23971.400000000005</v>
      </c>
    </row>
    <row r="96" spans="1:33" ht="15.75">
      <c r="A96" s="3" t="s">
        <v>2</v>
      </c>
      <c r="B96" s="22">
        <f aca="true" t="shared" si="20" ref="B96:AD96">B12+B20+B29+B36+B57+B66+B44+B80+B74+B53</f>
        <v>11608.2</v>
      </c>
      <c r="C96" s="22">
        <f t="shared" si="20"/>
        <v>8824.7</v>
      </c>
      <c r="D96" s="22">
        <f t="shared" si="20"/>
        <v>0</v>
      </c>
      <c r="E96" s="22">
        <f t="shared" si="20"/>
        <v>518.4</v>
      </c>
      <c r="F96" s="22">
        <f t="shared" si="20"/>
        <v>44.1</v>
      </c>
      <c r="G96" s="22">
        <f t="shared" si="20"/>
        <v>24</v>
      </c>
      <c r="H96" s="22">
        <f t="shared" si="20"/>
        <v>0.2</v>
      </c>
      <c r="I96" s="22">
        <f t="shared" si="20"/>
        <v>49.3</v>
      </c>
      <c r="J96" s="22">
        <f t="shared" si="20"/>
        <v>14.4</v>
      </c>
      <c r="K96" s="22">
        <f t="shared" si="20"/>
        <v>170.4</v>
      </c>
      <c r="L96" s="22">
        <f t="shared" si="20"/>
        <v>539.3000000000001</v>
      </c>
      <c r="M96" s="22">
        <f t="shared" si="20"/>
        <v>1.2</v>
      </c>
      <c r="N96" s="22">
        <f t="shared" si="20"/>
        <v>82.89999999999999</v>
      </c>
      <c r="O96" s="22">
        <f t="shared" si="20"/>
        <v>36.800000000000004</v>
      </c>
      <c r="P96" s="22">
        <f t="shared" si="20"/>
        <v>9.3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1490.3</v>
      </c>
      <c r="AG96" s="27">
        <f>B96+C96-AF96</f>
        <v>18942.600000000002</v>
      </c>
    </row>
    <row r="97" spans="1:33" ht="15.75">
      <c r="A97" s="3" t="s">
        <v>3</v>
      </c>
      <c r="B97" s="22">
        <f aca="true" t="shared" si="21" ref="B97:AA97">B18+B27+B42+B64+B78</f>
        <v>2745.7</v>
      </c>
      <c r="C97" s="22">
        <f t="shared" si="21"/>
        <v>2652.1000000000004</v>
      </c>
      <c r="D97" s="22">
        <f t="shared" si="21"/>
        <v>0</v>
      </c>
      <c r="E97" s="22">
        <f t="shared" si="21"/>
        <v>1.6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0.3</v>
      </c>
      <c r="L97" s="22">
        <f t="shared" si="21"/>
        <v>0</v>
      </c>
      <c r="M97" s="22">
        <f t="shared" si="21"/>
        <v>2146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2147.9</v>
      </c>
      <c r="AG97" s="27">
        <f>B97+C97-AF97</f>
        <v>3249.9</v>
      </c>
    </row>
    <row r="98" spans="1:33" ht="15.75">
      <c r="A98" s="3" t="s">
        <v>1</v>
      </c>
      <c r="B98" s="22">
        <f aca="true" t="shared" si="22" ref="B98:AD98">B19+B28+B65+B35+B43+B56+B79</f>
        <v>1151.9</v>
      </c>
      <c r="C98" s="22">
        <f t="shared" si="22"/>
        <v>3592.1000000000004</v>
      </c>
      <c r="D98" s="22">
        <f t="shared" si="22"/>
        <v>0</v>
      </c>
      <c r="E98" s="22">
        <f t="shared" si="22"/>
        <v>180.5</v>
      </c>
      <c r="F98" s="22">
        <f t="shared" si="22"/>
        <v>41.7</v>
      </c>
      <c r="G98" s="22">
        <f t="shared" si="22"/>
        <v>2</v>
      </c>
      <c r="H98" s="22">
        <f t="shared" si="22"/>
        <v>0</v>
      </c>
      <c r="I98" s="22">
        <f t="shared" si="22"/>
        <v>120.19999999999999</v>
      </c>
      <c r="J98" s="22">
        <f t="shared" si="22"/>
        <v>0</v>
      </c>
      <c r="K98" s="22">
        <f t="shared" si="22"/>
        <v>0.4</v>
      </c>
      <c r="L98" s="22">
        <f t="shared" si="22"/>
        <v>67.9</v>
      </c>
      <c r="M98" s="22">
        <f t="shared" si="22"/>
        <v>1.6</v>
      </c>
      <c r="N98" s="22">
        <f t="shared" si="22"/>
        <v>24.4</v>
      </c>
      <c r="O98" s="22">
        <f t="shared" si="22"/>
        <v>34.1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472.79999999999995</v>
      </c>
      <c r="AG98" s="27">
        <f>B98+C98-AF98</f>
        <v>4271.2</v>
      </c>
    </row>
    <row r="99" spans="1:33" ht="15.75">
      <c r="A99" s="3" t="s">
        <v>17</v>
      </c>
      <c r="B99" s="22">
        <f aca="true" t="shared" si="23" ref="B99:X99">B21+B30+B49+B37+B58+B13+B75+B67</f>
        <v>3509.2999999999997</v>
      </c>
      <c r="C99" s="22">
        <f t="shared" si="23"/>
        <v>2879.6</v>
      </c>
      <c r="D99" s="22">
        <f t="shared" si="23"/>
        <v>0</v>
      </c>
      <c r="E99" s="22">
        <f t="shared" si="23"/>
        <v>71.7</v>
      </c>
      <c r="F99" s="22">
        <f t="shared" si="23"/>
        <v>0</v>
      </c>
      <c r="G99" s="22">
        <f t="shared" si="23"/>
        <v>0</v>
      </c>
      <c r="H99" s="22">
        <f t="shared" si="23"/>
        <v>17.8</v>
      </c>
      <c r="I99" s="22">
        <f t="shared" si="23"/>
        <v>9.1</v>
      </c>
      <c r="J99" s="22">
        <f t="shared" si="23"/>
        <v>134.5</v>
      </c>
      <c r="K99" s="22">
        <f t="shared" si="23"/>
        <v>24.2</v>
      </c>
      <c r="L99" s="22">
        <f t="shared" si="23"/>
        <v>48.1</v>
      </c>
      <c r="M99" s="22">
        <f t="shared" si="23"/>
        <v>44</v>
      </c>
      <c r="N99" s="22">
        <f t="shared" si="23"/>
        <v>67.9</v>
      </c>
      <c r="O99" s="22">
        <f t="shared" si="23"/>
        <v>293.5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710.8000000000001</v>
      </c>
      <c r="AG99" s="27">
        <f>B99+C99-AF99</f>
        <v>5678.099999999999</v>
      </c>
    </row>
    <row r="100" spans="1:33" ht="12.75">
      <c r="A100" s="1" t="s">
        <v>41</v>
      </c>
      <c r="B100" s="2">
        <f aca="true" t="shared" si="25" ref="B100:AD100">B94-B95-B96-B97-B98-B99</f>
        <v>92530.6</v>
      </c>
      <c r="C100" s="2">
        <f t="shared" si="25"/>
        <v>25307.000000000007</v>
      </c>
      <c r="D100" s="2">
        <f t="shared" si="25"/>
        <v>15872.8</v>
      </c>
      <c r="E100" s="2">
        <f t="shared" si="25"/>
        <v>11532.7</v>
      </c>
      <c r="F100" s="2">
        <f t="shared" si="25"/>
        <v>228.10000000000002</v>
      </c>
      <c r="G100" s="2">
        <f t="shared" si="25"/>
        <v>683.8999999999997</v>
      </c>
      <c r="H100" s="2">
        <f t="shared" si="25"/>
        <v>251.10000000000002</v>
      </c>
      <c r="I100" s="2">
        <f t="shared" si="25"/>
        <v>2494.1</v>
      </c>
      <c r="J100" s="2">
        <f t="shared" si="25"/>
        <v>4809</v>
      </c>
      <c r="K100" s="2">
        <f t="shared" si="25"/>
        <v>1701.6</v>
      </c>
      <c r="L100" s="2">
        <f t="shared" si="25"/>
        <v>285.70000000000084</v>
      </c>
      <c r="M100" s="2">
        <f t="shared" si="25"/>
        <v>633.2999999999987</v>
      </c>
      <c r="N100" s="2">
        <f t="shared" si="25"/>
        <v>1899.1999999999994</v>
      </c>
      <c r="O100" s="2">
        <f t="shared" si="25"/>
        <v>3710.7999999999997</v>
      </c>
      <c r="P100" s="2">
        <f t="shared" si="25"/>
        <v>6445.2</v>
      </c>
      <c r="Q100" s="2">
        <f t="shared" si="25"/>
        <v>0</v>
      </c>
      <c r="R100" s="2">
        <f t="shared" si="25"/>
        <v>0</v>
      </c>
      <c r="S100" s="2">
        <f t="shared" si="25"/>
        <v>0</v>
      </c>
      <c r="T100" s="2">
        <f t="shared" si="25"/>
        <v>0</v>
      </c>
      <c r="U100" s="2">
        <f t="shared" si="25"/>
        <v>0</v>
      </c>
      <c r="V100" s="2">
        <f t="shared" si="25"/>
        <v>0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50547.49999999999</v>
      </c>
      <c r="AG100" s="2">
        <f>AG94-AG95-AG96-AG97-AG98-AG99</f>
        <v>67290.09999999998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2016-07-15T09:59:03Z</cp:lastPrinted>
  <dcterms:created xsi:type="dcterms:W3CDTF">2002-11-05T08:53:00Z</dcterms:created>
  <dcterms:modified xsi:type="dcterms:W3CDTF">2016-07-19T05:10:22Z</dcterms:modified>
  <cp:category/>
  <cp:version/>
  <cp:contentType/>
  <cp:contentStatus/>
</cp:coreProperties>
</file>